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3040" windowHeight="8532" activeTab="3"/>
  </bookViews>
  <sheets>
    <sheet name="Personal" sheetId="1" r:id="rId1"/>
    <sheet name="Inversion" sheetId="2" r:id="rId2"/>
    <sheet name="Servicio" sheetId="3" r:id="rId3"/>
    <sheet name="Salud y Genero" sheetId="4" r:id="rId4"/>
    <sheet name="Ingresos Generales" sheetId="6" r:id="rId5"/>
    <sheet name="Distribución de Ingresos por Cu" sheetId="7" r:id="rId6"/>
    <sheet name="Aumento Salaria;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8" l="1"/>
  <c r="B52" i="8"/>
  <c r="B50" i="8"/>
  <c r="B32" i="8"/>
  <c r="C39" i="8"/>
  <c r="B39" i="8"/>
  <c r="C50" i="8"/>
  <c r="B45" i="8"/>
  <c r="C45" i="8"/>
  <c r="C49" i="8"/>
  <c r="C48" i="8"/>
  <c r="C47" i="8"/>
  <c r="C46" i="8"/>
  <c r="C44" i="8"/>
  <c r="B43" i="8"/>
  <c r="C43" i="8" s="1"/>
  <c r="B38" i="8"/>
  <c r="C38" i="8" s="1"/>
  <c r="B31" i="8"/>
  <c r="B37" i="8"/>
  <c r="C37" i="8"/>
  <c r="B36" i="8"/>
  <c r="C36" i="8" s="1"/>
  <c r="B35" i="8"/>
  <c r="C40" i="8"/>
  <c r="C35" i="8"/>
  <c r="B30" i="8"/>
  <c r="C30" i="8" s="1"/>
  <c r="B29" i="8"/>
  <c r="C29" i="8" s="1"/>
  <c r="B25" i="8"/>
  <c r="C25" i="8" s="1"/>
  <c r="B24" i="8"/>
  <c r="C31" i="8"/>
  <c r="C28" i="8"/>
  <c r="C27" i="8"/>
  <c r="C26" i="8"/>
  <c r="C24" i="8"/>
  <c r="B23" i="8"/>
  <c r="B22" i="8"/>
  <c r="B21" i="8"/>
  <c r="C21" i="8" s="1"/>
  <c r="C23" i="8"/>
  <c r="C22" i="8"/>
  <c r="C20" i="8"/>
  <c r="C19" i="8"/>
  <c r="C18" i="8"/>
  <c r="C17" i="8"/>
  <c r="C16" i="8"/>
  <c r="C15" i="8"/>
  <c r="C14" i="8"/>
  <c r="C13" i="8"/>
  <c r="C12" i="8"/>
  <c r="B10" i="8"/>
  <c r="C10" i="8" s="1"/>
  <c r="C11" i="8"/>
  <c r="C9" i="8"/>
  <c r="B8" i="8"/>
  <c r="C8" i="8" s="1"/>
  <c r="C32" i="8" l="1"/>
  <c r="D39" i="3" l="1"/>
  <c r="D44" i="3"/>
  <c r="D40" i="3"/>
  <c r="D10" i="1"/>
  <c r="D7" i="1"/>
  <c r="D6" i="1"/>
  <c r="C47" i="6"/>
  <c r="C24" i="6"/>
  <c r="C53" i="6"/>
  <c r="C46" i="6"/>
  <c r="D8" i="1" l="1"/>
  <c r="D21" i="1"/>
  <c r="D20" i="1"/>
  <c r="D14" i="1"/>
  <c r="D13" i="1"/>
  <c r="C52" i="6"/>
  <c r="C50" i="6"/>
  <c r="D51" i="3" l="1"/>
  <c r="D52" i="3" s="1"/>
  <c r="D41" i="3"/>
  <c r="D16" i="1"/>
  <c r="D22" i="2" l="1"/>
  <c r="D32" i="3"/>
  <c r="D49" i="3"/>
  <c r="D50" i="3"/>
  <c r="D22" i="4"/>
  <c r="D23" i="4"/>
  <c r="D10" i="4"/>
  <c r="D13" i="4" s="1"/>
  <c r="D8" i="4"/>
  <c r="D13" i="2"/>
  <c r="D11" i="2"/>
  <c r="D59" i="3"/>
  <c r="D55" i="3"/>
  <c r="D48" i="3"/>
  <c r="D43" i="3"/>
  <c r="D29" i="1"/>
  <c r="D27" i="1"/>
  <c r="D24" i="1"/>
  <c r="D19" i="1"/>
  <c r="D14" i="4" l="1"/>
  <c r="D42" i="3"/>
  <c r="C45" i="6"/>
  <c r="D9" i="1"/>
  <c r="D12" i="1"/>
  <c r="D18" i="1"/>
  <c r="D23" i="1"/>
  <c r="D25" i="1"/>
  <c r="D11" i="1"/>
  <c r="D17" i="1"/>
  <c r="D26" i="2"/>
  <c r="D28" i="2" s="1"/>
  <c r="D54" i="3"/>
  <c r="D53" i="3"/>
  <c r="D12" i="4"/>
  <c r="D24" i="4" s="1"/>
  <c r="C51" i="6" l="1"/>
  <c r="C54" i="6" s="1"/>
  <c r="D64" i="3"/>
  <c r="B7" i="7"/>
  <c r="C8" i="7" s="1"/>
  <c r="D30" i="1"/>
  <c r="C9" i="7" l="1"/>
  <c r="C10" i="7"/>
  <c r="C13" i="7"/>
  <c r="C11" i="7"/>
  <c r="C12" i="7" l="1"/>
  <c r="C14" i="7" s="1"/>
  <c r="C16" i="7" s="1"/>
</calcChain>
</file>

<file path=xl/sharedStrings.xml><?xml version="1.0" encoding="utf-8"?>
<sst xmlns="http://schemas.openxmlformats.org/spreadsheetml/2006/main" count="369" uniqueCount="238">
  <si>
    <t>Fondo</t>
  </si>
  <si>
    <t>fuenteesp</t>
  </si>
  <si>
    <t>Clasificador de Gastos</t>
  </si>
  <si>
    <t>Gastos de Personal</t>
  </si>
  <si>
    <t>NORMAS Y SEGUIMIENTOS-(211101) Sueldos fijos</t>
  </si>
  <si>
    <t>NORMAS Y SEGUIMIENTOS-(211401) Sueldo anual no.13</t>
  </si>
  <si>
    <t>NORMAS Y SEGUIMIENTOS-(213201) Gastos de representaci?n en el pais</t>
  </si>
  <si>
    <t>NORMAS Y SEGUIMIENTOS-(215101) Contribuciones al seguro de salud</t>
  </si>
  <si>
    <t>NORMAS Y SEGUIMIENTOS-(215201) Contribuciones al seguro de pensiones</t>
  </si>
  <si>
    <t>NORMAS Y SEGUIMIENTOS-(215301) Contribuciones al seguro de riesgo laboral</t>
  </si>
  <si>
    <t>ADMINISTRACIÃ“N MUNICIPAL-(211101) Sueldos fijos</t>
  </si>
  <si>
    <t>ADMINISTRACIÃ“N MUNICIPAL-(211201) Sueldos al personal contratado e igualado</t>
  </si>
  <si>
    <t>ADMINISTRACIÃ“N MUNICIPAL-(211401) Sueldo anual no.13</t>
  </si>
  <si>
    <t>ADMINISTRACIÃ“N MUNICIPAL-(211503) Prestaci?n laboral por desvinculaci?n</t>
  </si>
  <si>
    <t>ADMINISTRACIÃ“N MUNICIPAL-(213201) Gastos de representaci?n en el pais</t>
  </si>
  <si>
    <t>ADMINISTRACIÃ“N MUNICIPAL-(215101) Contribuciones al seguro de salud</t>
  </si>
  <si>
    <t>ADMINISTRACIÃ“N MUNICIPAL-(215201) Contribuciones al seguro de pensiones</t>
  </si>
  <si>
    <t>ADMINISTRACIÃ“N MUNICIPAL-(215301) Contribuciones al seguro de riesgo laboral</t>
  </si>
  <si>
    <t>ADMINISTRACIÃ“N MUNICIPAL-(228601) Eventos generales</t>
  </si>
  <si>
    <t>SERVICIOS ADMINISTRATIVOS Y FINANCIEROS-(211101) Sueldos fijos</t>
  </si>
  <si>
    <t>SERVICIOS ADMINISTRATIVOS Y FINANCIEROS-(211401) Sueldo anual no.13</t>
  </si>
  <si>
    <t>SERVICIOS ADMINISTRATIVOS Y FINANCIEROS-(211601) Vacaciones</t>
  </si>
  <si>
    <t>SERVICIOS ADMINISTRATIVOS Y FINANCIEROS-(215101) Contribuciones al seguro de salud</t>
  </si>
  <si>
    <t>SERVICIOS ADMINISTRATIVOS Y FINANCIEROS-(215201) Contribuciones al seguro de pensiones</t>
  </si>
  <si>
    <t>SERVICIOS ADMINISTRATIVOS Y FINANCIEROS-(215301) Contribuciones al seguro de riesgo laboral</t>
  </si>
  <si>
    <t>SERVICIOS ADMINISTRATIVOS Y FINANCIEROS-(223101) Vi?ticos dentro del pa?s</t>
  </si>
  <si>
    <t>SERVICIOS ADMINISTRATIVOS Y FINANCIEROS-(228201) Comisiones y gastos bancarios</t>
  </si>
  <si>
    <t>COORDINACIÃ“N, EJECUCIÃ“N Y FISCALIZACIÃ“N DE OBRAS-(211101) Sueldos fijos</t>
  </si>
  <si>
    <t>DEUDA PUBLICA Y OTRAS OPERACIONES FINANCIERAS-(421101) DisminuciÃ³n de cuentas por pagar de corto plazo internas</t>
  </si>
  <si>
    <t>DEUDA PUBLICA Y OTRAS OPERACIONES FINANCIERAS-(421301) DisminuciÃ³n de prÃ©stamos de corto plazo internos</t>
  </si>
  <si>
    <t>DEUDA PUBLICA Y OTRAS OPERACIONES FINANCIERAS-(291101) Intereses de la deuda p?blica interna de corto plazo</t>
  </si>
  <si>
    <t>Total Presupuestado</t>
  </si>
  <si>
    <t>Inversion</t>
  </si>
  <si>
    <t>CONTROL Y FISCALIZACIÃ“N DE LA GESTIÃ“N MUNICIPAL-(261101) Muebles de oficina y estanter?a</t>
  </si>
  <si>
    <t>ADMINISTRACIÃ“N MUNICIPAL-(225303) Alquiler de equipo de comunicaci?n</t>
  </si>
  <si>
    <t>ADMINISTRACIÃ“N MUNICIPAL-(226101) Seguro de bienes inmuebles</t>
  </si>
  <si>
    <t>ADMINISTRACIÃ“N MUNICIPAL-(237106) Lubricantes</t>
  </si>
  <si>
    <t>ADMINISTRACIÃ“N MUNICIPAL-(261301) Equipo computacional</t>
  </si>
  <si>
    <t>ADMINISTRACIÃ“N MUNICIPAL-(266201) Equipos de seguridad</t>
  </si>
  <si>
    <t>FORMULACIÃ“N DE PLANES, PROYECTOS Y PROGRAMAS-(228705) Servicios de inform?tica y sistemas computarizados</t>
  </si>
  <si>
    <t>COORDINACIÃ“N, EJECUCIÃ“N Y FISCALIZACIÃ“N DE OBRAS-(225401) Alquileres de equipos de transporte, tracci?n y elevaci?n</t>
  </si>
  <si>
    <t>COORDINACIÃ“N, EJECUCIÃ“N Y FISCALIZACIÃ“N DE OBRAS-(227101) Obras Menores en edificaciones</t>
  </si>
  <si>
    <t>COORDINACIÃ“N, EJECUCIÃ“N Y FISCALIZACIÃ“N DE OBRAS-(227102) Servicios especiales de mantenimiento y reparaci?n</t>
  </si>
  <si>
    <t>COORDINACIÃ“N, EJECUCIÃ“N Y FISCALIZACIÃ“N DE OBRAS-(227104) Mantenimiento y reparaci?n de obras civiles en instalaciones varias</t>
  </si>
  <si>
    <t>COORDINACIÃ“N, EJECUCIÃ“N Y FISCALIZACIÃ“N DE OBRAS-(235301) Llantas y neum?ticos</t>
  </si>
  <si>
    <t>COORDINACIÃ“N, EJECUCIÃ“N Y FISCALIZACIÃ“N DE OBRAS-(237101) Gasolina</t>
  </si>
  <si>
    <t>COORDINACIÃ“N, EJECUCIÃ“N Y FISCALIZACIÃ“N DE OBRAS-(237102) Gasoil</t>
  </si>
  <si>
    <t>COORDINACIÃ“N, EJECUCIÃ“N Y FISCALIZACIÃ“N DE OBRAS-(239601) Productos el?ctricos y afines</t>
  </si>
  <si>
    <t>COORDINACIÃ“N, EJECUCIÃ“N Y FISCALIZACIÃ“N DE OBRAS-(265701) Herramientas y m?quinas-herramientas</t>
  </si>
  <si>
    <t>COORDINACIÃ“N, EJECUCIÃ“N Y FISCALIZACIÃ“N DE OBRAS-(268501) Estudios de preinversi?n</t>
  </si>
  <si>
    <t>total presupuestado</t>
  </si>
  <si>
    <t>Servicios Municipales</t>
  </si>
  <si>
    <t>NORMAS Y SEGUIMIENTOS-(213101) Dietas en el pa?s</t>
  </si>
  <si>
    <t>NORMAS Y SEGUIMIENTOS-(213102) Dietas en el exterior</t>
  </si>
  <si>
    <t>NORMAS Y SEGUIMIENTOS-(233101) Papel de escritorio</t>
  </si>
  <si>
    <t>NORMAS Y SEGUIMIENTOS-(237101) Gasolina</t>
  </si>
  <si>
    <t>ADMINISTRACIÃ“N MUNICIPAL-(221201) Servicios telef?nico de larga distancia</t>
  </si>
  <si>
    <t>ADMINISTRACIÃ“N MUNICIPAL-(221701) Agua</t>
  </si>
  <si>
    <t>ADMINISTRACIÃ“N MUNICIPAL-(222101) Publicidad y propaganda</t>
  </si>
  <si>
    <t>ADMINISTRACIÃ“N MUNICIPAL-(225101) Alquilleres y rentas de edificios y locales</t>
  </si>
  <si>
    <t>ADMINISTRACIÃ“N MUNICIPAL-(227102) Servicios especiales de mantenimiento y reparaci?n</t>
  </si>
  <si>
    <t>ADMINISTRACIÃ“N MUNICIPAL-(228201) Comisiones y gastos bancarios</t>
  </si>
  <si>
    <t>ADMINISTRACIÃ“N MUNICIPAL-(228502) Lavander?a</t>
  </si>
  <si>
    <t>ADMINISTRACIÃ“N MUNICIPAL-(228706) Otros servicios t?cnicos profesionales</t>
  </si>
  <si>
    <t>ADMINISTRACIÃ“N MUNICIPAL-(231101) Alimentos y bebidas para personas</t>
  </si>
  <si>
    <t>ADMINISTRACIÃ“N MUNICIPAL-(232101) Hilados y telas</t>
  </si>
  <si>
    <t>ADMINISTRACIÃ“N MUNICIPAL-(232301) Prendas de vestir</t>
  </si>
  <si>
    <t>ADMINISTRACIÃ“N MUNICIPAL-(232401) Calzados</t>
  </si>
  <si>
    <t>ADMINISTRACIÃ“N MUNICIPAL-(233101) Papel de escritorio</t>
  </si>
  <si>
    <t>ADMINISTRACIÃ“N MUNICIPAL-(237101) Gasolina</t>
  </si>
  <si>
    <t>ADMINISTRACIÃ“N MUNICIPAL-(237203) Productos qu?micos de uso personal</t>
  </si>
  <si>
    <t>ADMINISTRACIÃ“N MUNICIPAL-(239101) Material para limpieza</t>
  </si>
  <si>
    <t>ADMINISTRACIÃ“N MUNICIPAL-(239201) Utiles de escritorio, oficina inform?tica y de ense?anza</t>
  </si>
  <si>
    <t>ADMINISTRACIÃ“N MUNICIPAL-(239501) Utiles de cocina y comedor</t>
  </si>
  <si>
    <t>SERVICIOS ADMINISTRATIVOS Y FINANCIEROS-(213101) Dietas en el pa?s</t>
  </si>
  <si>
    <t>SERVICIOS ADMINISTRATIVOS Y FINANCIEROS-(222201) Impresi?n y encuadernaci?n</t>
  </si>
  <si>
    <t>SERVICIOS ADMINISTRATIVOS Y FINANCIEROS-(268301) Programas de inform?tica</t>
  </si>
  <si>
    <t>ADMINISTRACIÃ“N DE LOS SERVICIOS PÃšBLICOS-(227107) Servicios de pintura y derivados con fines de higiene y embellecimiento</t>
  </si>
  <si>
    <t>ADMINISTRACIÃ“N DE LOS SERVICIOS PÃšBLICOS-(228702) Servicios jur?dicos</t>
  </si>
  <si>
    <t>ADMINISTRACIÃ“N DE LOS SERVICIOS PÃšBLICOS-(235301) Llantas y neum?ticos</t>
  </si>
  <si>
    <t>ADMINISTRACIÃ“N DE LOS SERVICIOS PÃšBLICOS-(237102) Gasoil</t>
  </si>
  <si>
    <t>ADMINISTRACIÃ“N DE LOS SERVICIOS PÃšBLICOS-(239401) Utiles destinados a actividades deportivas y recreativas</t>
  </si>
  <si>
    <t>ADMINISTRACIÃ“N DE LOS SERVICIOS PÃšBLICOS-(239601) Productos el?ctricos y afines</t>
  </si>
  <si>
    <t>MANEJO DE RESIDUOS SÃ“LIDOS-(211202) Sueldos de personal nominal</t>
  </si>
  <si>
    <t>MANEJO DE RESIDUOS SÃ“LIDOS-(211401) Sueldo anual no.13</t>
  </si>
  <si>
    <t>MANEJO DE RESIDUOS SÃ“LIDOS-(215101) Contribuciones al seguro de salud</t>
  </si>
  <si>
    <t>MANEJO DE RESIDUOS SÃ“LIDOS-(215201) Contribuciones al seguro de pensiones</t>
  </si>
  <si>
    <t>SEGURIDAD Y VIGILANCIA CIUDADANA-(211202) Sueldos de personal nominal</t>
  </si>
  <si>
    <t>SEGURIDAD Y VIGILANCIA CIUDADANA-(211401) Sueldo anual no.13</t>
  </si>
  <si>
    <t>SEGURIDAD Y VIGILANCIA CIUDADANA-(215101) Contribuciones al seguro de salud</t>
  </si>
  <si>
    <t>SEGURIDAD Y VIGILANCIA CIUDADANA-(215201) Contribuciones al seguro de pensiones</t>
  </si>
  <si>
    <t>SEGURIDAD Y VIGILANCIA CIUDADANA-(215301) Contribuciones al seguro de riesgo laboral</t>
  </si>
  <si>
    <t>PREVENCIÃ“N Y EXTINCIÃ“N DE INCENDIOS-(211101) Sueldos fijos</t>
  </si>
  <si>
    <t>PREVENCIÃ“N Y EXTINCIÃ“N DE INCENDIOS-(211401) Sueldo anual no.13</t>
  </si>
  <si>
    <t>PREVENCIÃ“N Y EXTINCIÃ“N DE INCENDIOS-(215101) Contribuciones al seguro de salud</t>
  </si>
  <si>
    <t>PREVENCIÃ“N Y EXTINCIÃ“N DE INCENDIOS-(215201) Contribuciones al seguro de pensiones</t>
  </si>
  <si>
    <t>PREVENCIÃ“N Y EXTINCIÃ“N DE INCENDIOS-(215301) Contribuciones al seguro de riesgo laboral</t>
  </si>
  <si>
    <t>ASISTENCIA SOCIAL-(241201) Ayudas y donaciones programadas a hogares y personas</t>
  </si>
  <si>
    <t>FOMENTO DE LA CULTURA Y EL ARTE-(228604) Actuaciones art?sticas</t>
  </si>
  <si>
    <t>FOMENTO DE LA CULTURA Y EL ARTE-(241301) Premios literarios, deportivos y culturales</t>
  </si>
  <si>
    <t>Educacion , Salud y Genero</t>
  </si>
  <si>
    <t>ASISTENCIA SOCIAL-(241202) Ayudas y donaciones ocasionales a hogares y personas</t>
  </si>
  <si>
    <t>FOMENTO DE LA CULTURA Y EL ARTE-(211101) Sueldos fijos</t>
  </si>
  <si>
    <t>FOMENTO DE LA CULTURA Y EL ARTE-(211401) Sueldo anual no.13</t>
  </si>
  <si>
    <t>FOMENTO DE LA CULTURA Y EL ARTE-(215101) Contribuciones al seguro de salud</t>
  </si>
  <si>
    <t>FOMENTO DE LA CULTURA Y EL ARTE-(215201) Contribuciones al seguro de pensiones</t>
  </si>
  <si>
    <t>FOMENTO DE LA CULTURA Y EL ARTE-(215301) Contribuciones al seguro de riesgo laboral</t>
  </si>
  <si>
    <t>FOMENTO DE LA CULTURA Y EL ARTE-(228601) Eventos generales</t>
  </si>
  <si>
    <t>FOMENTO, COORDINACIÃ“N Y REGISTRO DE LAS ORG. CIUDADANA-(228401) Servicios funerarios y gastos conexos</t>
  </si>
  <si>
    <t>FOMENTO, COORDINACIÃ“N Y REGISTRO DE LAS ORG. CIUDADANA-(231101) Alimentos y bebidas para personas</t>
  </si>
  <si>
    <t>FOMENTO, COORDINACIÃ“N Y REGISTRO DE LAS ORG. CIUDADANA-(234101) Productos medicinales</t>
  </si>
  <si>
    <t>FOMENTO, COORDINACIÃ“N Y REGISTRO DE LAS ORG. CIUDADANA-(237101) Gasolina</t>
  </si>
  <si>
    <t>FOMENTO, COORDINACIÃ“N Y REGISTRO DE LAS ORG. CIUDADANA-(241201) Ayudas y donaciones programadas a hogares y personas</t>
  </si>
  <si>
    <t>FOMENTO, COORDINACIÃ“N Y REGISTRO DE LAS ORG. CIUDADANA-(241401) Becas Nacionales</t>
  </si>
  <si>
    <t>DEUDA PUBLICA Y OTRAS OPERACIONES FINANCIERAS-(º421101) DisminuciÃ³n de cuentas por pagar de corto plazo internas</t>
  </si>
  <si>
    <t>DEUDA PUBLICA Y OTRAS OPERACIONES FINANCIERAS-(291101) Amortiación de Prestamo a corto plazo de la deuda p?blica interna de corto plazo</t>
  </si>
  <si>
    <t>Totales</t>
  </si>
  <si>
    <t>ADMINISTRACION DE CONTRIBUCIONES ESPECIALES-(241101) Pensiones</t>
  </si>
  <si>
    <t>Gasto de Personal</t>
  </si>
  <si>
    <t>AYUNTAMIENTO MUNICIPAL COTUI</t>
  </si>
  <si>
    <t>(VALRES EN RD$)</t>
  </si>
  <si>
    <t>Clasificador</t>
  </si>
  <si>
    <t>Detalle</t>
  </si>
  <si>
    <t>Presupuestado</t>
  </si>
  <si>
    <t>Anuncios, Muestras y Carteles</t>
  </si>
  <si>
    <t>Rodaje y Transporte de Materiales Varios</t>
  </si>
  <si>
    <t>Hoteles, moteles y apart - hoteles y establecimientos similares</t>
  </si>
  <si>
    <t>Certificaciones de animales</t>
  </si>
  <si>
    <t>Traspaso de solares y terrenos rurales</t>
  </si>
  <si>
    <t>Mercado móvil (chimi, hogdog y otros)</t>
  </si>
  <si>
    <t>Registro y organizaicon sindicatos de choferes</t>
  </si>
  <si>
    <t>Funcionamiento de Carh wash</t>
  </si>
  <si>
    <t>Impuesto sobre tramitacoion de documentos</t>
  </si>
  <si>
    <t>Impuesto sobre registro de documentos</t>
  </si>
  <si>
    <t>Impuesto sobre lidias de gallos</t>
  </si>
  <si>
    <t>Impuesto sobre billar</t>
  </si>
  <si>
    <t>Licencia de construccion</t>
  </si>
  <si>
    <t>Permisos para romper pavimentos de vias públicas</t>
  </si>
  <si>
    <t>Parada y terminal de autobuses</t>
  </si>
  <si>
    <t>Del sector privado interno</t>
  </si>
  <si>
    <t>Transferencia corriente ordinaria según ley</t>
  </si>
  <si>
    <t>Transferencia de capital ordianria según ley</t>
  </si>
  <si>
    <t>Tasa de la matanza de animales</t>
  </si>
  <si>
    <t>Tramitacion de planos</t>
  </si>
  <si>
    <t>Estudio de uso de suelo</t>
  </si>
  <si>
    <t>Recoleccion de desechos sólidos</t>
  </si>
  <si>
    <t>Estacionamiento vía pública</t>
  </si>
  <si>
    <t>Casetas fijas y móviles</t>
  </si>
  <si>
    <t>Mercados y hospedajes</t>
  </si>
  <si>
    <t>Galleras</t>
  </si>
  <si>
    <t>Nichos en cementerios</t>
  </si>
  <si>
    <t>Cafeterías</t>
  </si>
  <si>
    <t>Balnearios</t>
  </si>
  <si>
    <t>Matanzas y espendios de carnes</t>
  </si>
  <si>
    <t>Otros proventos</t>
  </si>
  <si>
    <t>Arrendamientos de solares</t>
  </si>
  <si>
    <t>Ventas de terrenos en cementerios</t>
  </si>
  <si>
    <t>Otras consesiones</t>
  </si>
  <si>
    <t>Aumomóviles y camiones</t>
  </si>
  <si>
    <t>Ingresos por Cuenta</t>
  </si>
  <si>
    <t>Servicios Generales</t>
  </si>
  <si>
    <t>Inversiones en Obras</t>
  </si>
  <si>
    <t>Educación, Género y Salud</t>
  </si>
  <si>
    <t>Sub-total</t>
  </si>
  <si>
    <t>Presupuesto Participativo</t>
  </si>
  <si>
    <t>Total Ayuntamiento</t>
  </si>
  <si>
    <t>Base Imponible</t>
  </si>
  <si>
    <t>Fondos Asignados</t>
  </si>
  <si>
    <t>Fondos POA Fomisar</t>
  </si>
  <si>
    <t>Total Ingresos Ayuntamiento Cotuí</t>
  </si>
  <si>
    <t>Fuente esp</t>
  </si>
  <si>
    <t>Incremento de Préstamo a Corto Plazo - Interno</t>
  </si>
  <si>
    <t xml:space="preserve"> TOTAL DE INGRESOS</t>
  </si>
  <si>
    <t>CUENTA DE PERSONAL 25 %</t>
  </si>
  <si>
    <t>COMPRAS DE UTENSILIOS PARA LA  R. D S. SAFACONES</t>
  </si>
  <si>
    <t>cuenta de servicios generales 31 %</t>
  </si>
  <si>
    <t>cuenta de inversion 40%</t>
  </si>
  <si>
    <t>CUENTA DE EDUCACION GENERO Y SALUD.</t>
  </si>
  <si>
    <t>DEL 1 DE ENERO AL 31 DICIEMBRE 2022</t>
  </si>
  <si>
    <t>Presup 2022</t>
  </si>
  <si>
    <t>Pres. 2022</t>
  </si>
  <si>
    <t>Espectaculos públicos con o sin boletas de entrada</t>
  </si>
  <si>
    <t>Gobierno Central</t>
  </si>
  <si>
    <t>Ingresos propios</t>
  </si>
  <si>
    <t>Fuente de Financiamiento</t>
  </si>
  <si>
    <t>Total</t>
  </si>
  <si>
    <t>BANDA DE MUSICA  Sueldos</t>
  </si>
  <si>
    <t>BANDA DE MUSICA  Regalía Pascual</t>
  </si>
  <si>
    <t>Origen de los Fondos</t>
  </si>
  <si>
    <t xml:space="preserve">PRESUPUEST0 GENERAL DE INGRESOS </t>
  </si>
  <si>
    <t>Personal Contratado o Igualado</t>
  </si>
  <si>
    <t xml:space="preserve">Impuesto sobre ventas condicional de muebles </t>
  </si>
  <si>
    <t>ANTE PROYECTO DEL PRESUPUESTO AÑO 2022</t>
  </si>
  <si>
    <t>AYUNTAMIENTO MUNICIPAL DE COTUI</t>
  </si>
  <si>
    <t>Fuentes</t>
  </si>
  <si>
    <t>NOMINA</t>
  </si>
  <si>
    <t xml:space="preserve">Cuentas </t>
  </si>
  <si>
    <t>Regidores</t>
  </si>
  <si>
    <t>Mensual</t>
  </si>
  <si>
    <t>Anual</t>
  </si>
  <si>
    <t>Alcalde</t>
  </si>
  <si>
    <t>Vicealcaldesa</t>
  </si>
  <si>
    <t>Tesorero</t>
  </si>
  <si>
    <t>Financiera</t>
  </si>
  <si>
    <t>Asistente Tesorería</t>
  </si>
  <si>
    <t>Jurídico</t>
  </si>
  <si>
    <t>Contador</t>
  </si>
  <si>
    <t>Contralor</t>
  </si>
  <si>
    <t>Libre Acceso</t>
  </si>
  <si>
    <t>Compras y Contrataciones</t>
  </si>
  <si>
    <t>Recursos Humanos</t>
  </si>
  <si>
    <t>Auxiliar de Contabilidad 1</t>
  </si>
  <si>
    <t>Auxiliar de Contabilidad 2</t>
  </si>
  <si>
    <t>Asistente Financiera</t>
  </si>
  <si>
    <t>Secretaria 7</t>
  </si>
  <si>
    <t>Secretaria 6</t>
  </si>
  <si>
    <t>Secreraria Consejo</t>
  </si>
  <si>
    <t>Asistente Secretaria Consejo</t>
  </si>
  <si>
    <t>Auxiliar Secretaria Consejo</t>
  </si>
  <si>
    <t>Asistente Hipoteca</t>
  </si>
  <si>
    <t>Secretaria Hipoteca</t>
  </si>
  <si>
    <t>Cuenta de personal</t>
  </si>
  <si>
    <t>Cuenta de servicios</t>
  </si>
  <si>
    <t>Conserje -4</t>
  </si>
  <si>
    <t>Policia-19</t>
  </si>
  <si>
    <t>Obreros -34</t>
  </si>
  <si>
    <t>Robinson Hipoteca</t>
  </si>
  <si>
    <t>Total cuenta de personal</t>
  </si>
  <si>
    <t>Choferes -9</t>
  </si>
  <si>
    <t>Cuenta de Inversión</t>
  </si>
  <si>
    <t>Ingeniero Asistente de planeamiento - 2</t>
  </si>
  <si>
    <t>Arquitecta -1</t>
  </si>
  <si>
    <t>Karem asistente de planeamiento</t>
  </si>
  <si>
    <t xml:space="preserve">Encargado planeamiento </t>
  </si>
  <si>
    <t>Machetero pendiente</t>
  </si>
  <si>
    <t>Barredores pendiente</t>
  </si>
  <si>
    <t>*Yan Carlo Vicioso - DPS - Pendiente</t>
  </si>
  <si>
    <t>GRAN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</si>
</sst>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Verdana"/>
      <family val="2"/>
    </font>
    <font>
      <sz val="8.8000000000000007"/>
      <color rgb="FF333333"/>
      <name val="Verdana"/>
      <family val="2"/>
    </font>
    <font>
      <b/>
      <sz val="10"/>
      <color rgb="FF333333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3.5"/>
      <color rgb="FF333333"/>
      <name val="Verdana"/>
      <family val="2"/>
    </font>
    <font>
      <sz val="13.5"/>
      <color theme="0"/>
      <name val="Calibri"/>
      <family val="2"/>
      <scheme val="minor"/>
    </font>
    <font>
      <i/>
      <sz val="1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CFFD"/>
        <bgColor rgb="FF000000"/>
      </patternFill>
    </fill>
    <fill>
      <patternFill patternType="solid">
        <fgColor rgb="FFEFEFE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CFFD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5A5A5"/>
      </patternFill>
    </fill>
    <fill>
      <patternFill patternType="solid">
        <fgColor theme="4"/>
      </patternFill>
    </fill>
  </fills>
  <borders count="12">
    <border>
      <left/>
      <right/>
      <top/>
      <bottom/>
      <diagonal/>
    </border>
    <border>
      <left style="medium">
        <color rgb="FFCCCCCC"/>
      </left>
      <right style="medium">
        <color rgb="FFFFFFFF"/>
      </right>
      <top style="medium">
        <color rgb="FFCCCCCC"/>
      </top>
      <bottom/>
      <diagonal/>
    </border>
    <border>
      <left/>
      <right style="medium">
        <color rgb="FFFFFFFF"/>
      </right>
      <top style="medium">
        <color rgb="FFCCCCCC"/>
      </top>
      <bottom/>
      <diagonal/>
    </border>
    <border>
      <left/>
      <right/>
      <top style="medium">
        <color rgb="FFCCCCC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0" fontId="5" fillId="8" borderId="8" applyNumberFormat="0" applyAlignment="0" applyProtection="0"/>
    <xf numFmtId="0" fontId="6" fillId="9" borderId="0" applyNumberFormat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3" fillId="4" borderId="7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5" borderId="4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vertical="top" wrapText="1"/>
    </xf>
    <xf numFmtId="0" fontId="2" fillId="7" borderId="4" xfId="0" applyFont="1" applyFill="1" applyBorder="1" applyAlignment="1">
      <alignment horizontal="center" vertical="top" wrapText="1"/>
    </xf>
    <xf numFmtId="0" fontId="2" fillId="7" borderId="4" xfId="0" applyFont="1" applyFill="1" applyBorder="1" applyAlignment="1">
      <alignment vertical="top" wrapText="1"/>
    </xf>
    <xf numFmtId="164" fontId="0" fillId="0" borderId="0" xfId="0" applyNumberFormat="1"/>
    <xf numFmtId="164" fontId="2" fillId="3" borderId="5" xfId="1" applyFont="1" applyFill="1" applyBorder="1" applyAlignment="1">
      <alignment vertical="top"/>
    </xf>
    <xf numFmtId="164" fontId="2" fillId="4" borderId="7" xfId="1" applyFont="1" applyFill="1" applyBorder="1" applyAlignment="1">
      <alignment vertical="top"/>
    </xf>
    <xf numFmtId="164" fontId="0" fillId="0" borderId="7" xfId="0" applyNumberFormat="1" applyBorder="1"/>
    <xf numFmtId="164" fontId="0" fillId="0" borderId="0" xfId="1" applyFont="1"/>
    <xf numFmtId="164" fontId="2" fillId="4" borderId="7" xfId="0" applyNumberFormat="1" applyFont="1" applyFill="1" applyBorder="1" applyAlignment="1">
      <alignment vertical="top"/>
    </xf>
    <xf numFmtId="164" fontId="2" fillId="6" borderId="4" xfId="1" applyFont="1" applyFill="1" applyBorder="1" applyAlignment="1">
      <alignment vertical="top"/>
    </xf>
    <xf numFmtId="164" fontId="2" fillId="7" borderId="4" xfId="1" applyFont="1" applyFill="1" applyBorder="1" applyAlignment="1">
      <alignment vertical="top"/>
    </xf>
    <xf numFmtId="0" fontId="6" fillId="9" borderId="9" xfId="3" applyBorder="1" applyAlignment="1">
      <alignment vertical="top" wrapText="1"/>
    </xf>
    <xf numFmtId="164" fontId="6" fillId="9" borderId="0" xfId="3" applyNumberFormat="1"/>
    <xf numFmtId="0" fontId="6" fillId="9" borderId="6" xfId="3" applyBorder="1" applyAlignment="1">
      <alignment horizontal="center" vertical="top" wrapText="1"/>
    </xf>
    <xf numFmtId="0" fontId="6" fillId="9" borderId="7" xfId="3" applyBorder="1"/>
    <xf numFmtId="164" fontId="6" fillId="9" borderId="7" xfId="3" applyNumberFormat="1" applyBorder="1"/>
    <xf numFmtId="0" fontId="7" fillId="0" borderId="0" xfId="0" applyFont="1" applyAlignment="1"/>
    <xf numFmtId="0" fontId="8" fillId="0" borderId="0" xfId="0" applyFont="1"/>
    <xf numFmtId="0" fontId="7" fillId="0" borderId="4" xfId="0" applyFont="1" applyBorder="1"/>
    <xf numFmtId="164" fontId="7" fillId="0" borderId="4" xfId="1" applyFont="1" applyBorder="1"/>
    <xf numFmtId="164" fontId="7" fillId="0" borderId="4" xfId="0" applyNumberFormat="1" applyFont="1" applyBorder="1"/>
    <xf numFmtId="0" fontId="7" fillId="0" borderId="0" xfId="0" applyFont="1"/>
    <xf numFmtId="164" fontId="8" fillId="0" borderId="0" xfId="0" applyNumberFormat="1" applyFont="1"/>
    <xf numFmtId="164" fontId="7" fillId="0" borderId="10" xfId="1" applyFont="1" applyBorder="1"/>
    <xf numFmtId="0" fontId="8" fillId="0" borderId="0" xfId="0" applyFont="1" applyFill="1" applyBorder="1"/>
    <xf numFmtId="164" fontId="8" fillId="0" borderId="11" xfId="1" applyFont="1" applyBorder="1"/>
    <xf numFmtId="0" fontId="9" fillId="0" borderId="0" xfId="0" applyFont="1"/>
    <xf numFmtId="0" fontId="11" fillId="0" borderId="0" xfId="0" applyFont="1"/>
    <xf numFmtId="0" fontId="12" fillId="0" borderId="0" xfId="0" applyFont="1"/>
    <xf numFmtId="164" fontId="12" fillId="0" borderId="0" xfId="1" applyFont="1"/>
    <xf numFmtId="164" fontId="11" fillId="0" borderId="0" xfId="1" applyFont="1"/>
    <xf numFmtId="164" fontId="11" fillId="0" borderId="10" xfId="1" applyFont="1" applyBorder="1"/>
    <xf numFmtId="164" fontId="12" fillId="0" borderId="11" xfId="1" applyFont="1" applyBorder="1"/>
    <xf numFmtId="0" fontId="12" fillId="0" borderId="8" xfId="2" applyFont="1" applyFill="1"/>
    <xf numFmtId="164" fontId="12" fillId="0" borderId="8" xfId="2" applyNumberFormat="1" applyFont="1" applyFill="1"/>
    <xf numFmtId="0" fontId="8" fillId="0" borderId="0" xfId="0" applyFont="1" applyAlignment="1">
      <alignment horizontal="center"/>
    </xf>
    <xf numFmtId="43" fontId="0" fillId="0" borderId="0" xfId="0" applyNumberFormat="1"/>
    <xf numFmtId="0" fontId="14" fillId="0" borderId="0" xfId="0" applyFont="1"/>
    <xf numFmtId="164" fontId="14" fillId="0" borderId="0" xfId="1" applyFont="1"/>
    <xf numFmtId="43" fontId="14" fillId="0" borderId="0" xfId="0" applyNumberFormat="1" applyFont="1"/>
    <xf numFmtId="0" fontId="8" fillId="0" borderId="0" xfId="0" applyFont="1" applyAlignment="1"/>
    <xf numFmtId="164" fontId="12" fillId="0" borderId="0" xfId="1" applyFont="1" applyFill="1" applyBorder="1"/>
    <xf numFmtId="164" fontId="16" fillId="3" borderId="7" xfId="1" applyFont="1" applyFill="1" applyBorder="1" applyAlignment="1">
      <alignment vertical="top"/>
    </xf>
    <xf numFmtId="164" fontId="16" fillId="4" borderId="7" xfId="1" applyFont="1" applyFill="1" applyBorder="1" applyAlignment="1">
      <alignment vertical="top"/>
    </xf>
    <xf numFmtId="164" fontId="17" fillId="9" borderId="7" xfId="3" applyNumberFormat="1" applyFont="1" applyBorder="1"/>
    <xf numFmtId="0" fontId="2" fillId="3" borderId="7" xfId="0" applyFont="1" applyFill="1" applyBorder="1" applyAlignment="1">
      <alignment vertical="justify" wrapText="1"/>
    </xf>
    <xf numFmtId="164" fontId="12" fillId="0" borderId="8" xfId="1" applyFont="1" applyFill="1" applyBorder="1"/>
    <xf numFmtId="0" fontId="18" fillId="0" borderId="0" xfId="0" applyFont="1"/>
    <xf numFmtId="0" fontId="8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Celda de comprobación" xfId="2" builtinId="23"/>
    <cellStyle name="Énfasis1" xfId="3" builtinId="29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zoomScale="117" zoomScaleNormal="117" workbookViewId="0">
      <selection activeCell="F7" sqref="F7"/>
    </sheetView>
  </sheetViews>
  <sheetFormatPr baseColWidth="10" defaultRowHeight="14.4" x14ac:dyDescent="0.3"/>
  <cols>
    <col min="1" max="1" width="18.44140625" customWidth="1"/>
    <col min="2" max="2" width="10" customWidth="1"/>
    <col min="3" max="3" width="31" customWidth="1"/>
    <col min="4" max="4" width="17.33203125" customWidth="1"/>
    <col min="5" max="5" width="14" bestFit="1" customWidth="1"/>
  </cols>
  <sheetData>
    <row r="1" spans="1:5" ht="15.6" x14ac:dyDescent="0.3">
      <c r="B1" s="35"/>
      <c r="C1" s="35"/>
    </row>
    <row r="2" spans="1:5" ht="15.6" x14ac:dyDescent="0.3">
      <c r="B2" s="35" t="s">
        <v>173</v>
      </c>
      <c r="C2" s="35"/>
    </row>
    <row r="3" spans="1:5" x14ac:dyDescent="0.3">
      <c r="A3" s="21"/>
    </row>
    <row r="4" spans="1:5" ht="15" thickBot="1" x14ac:dyDescent="0.35"/>
    <row r="5" spans="1:5" ht="27.6" x14ac:dyDescent="0.3">
      <c r="A5" s="1" t="s">
        <v>0</v>
      </c>
      <c r="B5" s="2" t="s">
        <v>1</v>
      </c>
      <c r="C5" s="2" t="s">
        <v>2</v>
      </c>
      <c r="D5" s="3" t="s">
        <v>180</v>
      </c>
    </row>
    <row r="6" spans="1:5" ht="44.25" customHeight="1" x14ac:dyDescent="0.3">
      <c r="A6" s="4" t="s">
        <v>3</v>
      </c>
      <c r="B6" s="5">
        <v>1955</v>
      </c>
      <c r="C6" s="5" t="s">
        <v>4</v>
      </c>
      <c r="D6" s="22">
        <f>609000*12*1.1+468000-36000+31200</f>
        <v>8502000</v>
      </c>
      <c r="E6" s="25"/>
    </row>
    <row r="7" spans="1:5" ht="40.5" customHeight="1" x14ac:dyDescent="0.3">
      <c r="A7" s="6" t="s">
        <v>3</v>
      </c>
      <c r="B7" s="7">
        <v>2006</v>
      </c>
      <c r="C7" s="7" t="s">
        <v>5</v>
      </c>
      <c r="D7" s="22">
        <f>+D6/12</f>
        <v>708500</v>
      </c>
    </row>
    <row r="8" spans="1:5" ht="45" customHeight="1" x14ac:dyDescent="0.3">
      <c r="A8" s="6" t="s">
        <v>3</v>
      </c>
      <c r="B8" s="7">
        <v>1955</v>
      </c>
      <c r="C8" s="7" t="s">
        <v>6</v>
      </c>
      <c r="D8" s="23">
        <f>+(60000*0.2+60000*0.1)*12*1.1+58826.25</f>
        <v>296426.25</v>
      </c>
    </row>
    <row r="9" spans="1:5" ht="41.25" customHeight="1" x14ac:dyDescent="0.3">
      <c r="A9" s="6" t="s">
        <v>3</v>
      </c>
      <c r="B9" s="7">
        <v>1955</v>
      </c>
      <c r="C9" s="7" t="s">
        <v>7</v>
      </c>
      <c r="D9" s="23">
        <f>+D6*7.1%</f>
        <v>603642</v>
      </c>
    </row>
    <row r="10" spans="1:5" ht="41.25" customHeight="1" x14ac:dyDescent="0.3">
      <c r="A10" s="6"/>
      <c r="B10" s="7"/>
      <c r="C10" s="7" t="s">
        <v>190</v>
      </c>
      <c r="D10" s="23">
        <f>1681442.72+652857.12</f>
        <v>2334299.84</v>
      </c>
    </row>
    <row r="11" spans="1:5" ht="39.75" customHeight="1" x14ac:dyDescent="0.3">
      <c r="A11" s="6" t="s">
        <v>3</v>
      </c>
      <c r="B11" s="7">
        <v>1955</v>
      </c>
      <c r="C11" s="7" t="s">
        <v>8</v>
      </c>
      <c r="D11" s="23">
        <f>+D6*7.09%</f>
        <v>602791.80000000005</v>
      </c>
    </row>
    <row r="12" spans="1:5" ht="48" customHeight="1" x14ac:dyDescent="0.3">
      <c r="A12" s="6" t="s">
        <v>3</v>
      </c>
      <c r="B12" s="7">
        <v>1955</v>
      </c>
      <c r="C12" s="7" t="s">
        <v>9</v>
      </c>
      <c r="D12" s="23">
        <f>+D6*1.3%</f>
        <v>110526.00000000001</v>
      </c>
    </row>
    <row r="13" spans="1:5" ht="37.5" customHeight="1" x14ac:dyDescent="0.3">
      <c r="A13" s="6" t="s">
        <v>3</v>
      </c>
      <c r="B13" s="7">
        <v>1955</v>
      </c>
      <c r="C13" s="7" t="s">
        <v>10</v>
      </c>
      <c r="D13" s="23">
        <f>607500*12*1.1+832000-64000</f>
        <v>8787000</v>
      </c>
    </row>
    <row r="14" spans="1:5" ht="39" customHeight="1" x14ac:dyDescent="0.3">
      <c r="A14" s="6" t="s">
        <v>3</v>
      </c>
      <c r="B14" s="7">
        <v>2006</v>
      </c>
      <c r="C14" s="7" t="s">
        <v>12</v>
      </c>
      <c r="D14" s="23">
        <f>+D13/12+64000</f>
        <v>796250</v>
      </c>
    </row>
    <row r="15" spans="1:5" ht="51" customHeight="1" x14ac:dyDescent="0.3">
      <c r="A15" s="6" t="s">
        <v>3</v>
      </c>
      <c r="B15" s="7">
        <v>9996</v>
      </c>
      <c r="C15" s="7" t="s">
        <v>13</v>
      </c>
      <c r="D15" s="23">
        <v>1000000</v>
      </c>
    </row>
    <row r="16" spans="1:5" ht="47.25" customHeight="1" x14ac:dyDescent="0.3">
      <c r="A16" s="6" t="s">
        <v>3</v>
      </c>
      <c r="B16" s="7">
        <v>1955</v>
      </c>
      <c r="C16" s="7" t="s">
        <v>14</v>
      </c>
      <c r="D16" s="23">
        <f>100000*0.25*12+100000</f>
        <v>400000</v>
      </c>
    </row>
    <row r="17" spans="1:5" ht="47.25" customHeight="1" x14ac:dyDescent="0.3">
      <c r="A17" s="6" t="s">
        <v>3</v>
      </c>
      <c r="B17" s="7">
        <v>1955</v>
      </c>
      <c r="C17" s="7" t="s">
        <v>15</v>
      </c>
      <c r="D17" s="23">
        <f>+D13*7.1%</f>
        <v>623877</v>
      </c>
    </row>
    <row r="18" spans="1:5" ht="45" customHeight="1" x14ac:dyDescent="0.3">
      <c r="A18" s="6" t="s">
        <v>3</v>
      </c>
      <c r="B18" s="7">
        <v>1955</v>
      </c>
      <c r="C18" s="7" t="s">
        <v>16</v>
      </c>
      <c r="D18" s="23">
        <f>+D13*7.09%</f>
        <v>622998.30000000005</v>
      </c>
    </row>
    <row r="19" spans="1:5" ht="42.75" customHeight="1" x14ac:dyDescent="0.3">
      <c r="A19" s="6" t="s">
        <v>3</v>
      </c>
      <c r="B19" s="7">
        <v>1955</v>
      </c>
      <c r="C19" s="7" t="s">
        <v>17</v>
      </c>
      <c r="D19" s="23">
        <f>+D13*1.3%</f>
        <v>114231.00000000001</v>
      </c>
    </row>
    <row r="20" spans="1:5" ht="34.200000000000003" x14ac:dyDescent="0.3">
      <c r="A20" s="6" t="s">
        <v>3</v>
      </c>
      <c r="B20" s="7">
        <v>1955</v>
      </c>
      <c r="C20" s="7" t="s">
        <v>19</v>
      </c>
      <c r="D20" s="23">
        <f>339000*12*1.2+1365000-105000</f>
        <v>6141600</v>
      </c>
    </row>
    <row r="21" spans="1:5" ht="34.200000000000003" x14ac:dyDescent="0.3">
      <c r="A21" s="6" t="s">
        <v>3</v>
      </c>
      <c r="B21" s="7">
        <v>2006</v>
      </c>
      <c r="C21" s="7" t="s">
        <v>20</v>
      </c>
      <c r="D21" s="23">
        <f>+D20/12+105000</f>
        <v>616800</v>
      </c>
    </row>
    <row r="22" spans="1:5" ht="34.200000000000003" x14ac:dyDescent="0.3">
      <c r="A22" s="6" t="s">
        <v>3</v>
      </c>
      <c r="B22" s="7">
        <v>1955</v>
      </c>
      <c r="C22" s="7" t="s">
        <v>21</v>
      </c>
      <c r="D22" s="23">
        <v>60000</v>
      </c>
    </row>
    <row r="23" spans="1:5" ht="34.200000000000003" x14ac:dyDescent="0.3">
      <c r="A23" s="6" t="s">
        <v>3</v>
      </c>
      <c r="B23" s="7">
        <v>1955</v>
      </c>
      <c r="C23" s="7" t="s">
        <v>22</v>
      </c>
      <c r="D23" s="23">
        <f>+D20*7.1%</f>
        <v>436053.6</v>
      </c>
    </row>
    <row r="24" spans="1:5" ht="45.6" x14ac:dyDescent="0.3">
      <c r="A24" s="6" t="s">
        <v>3</v>
      </c>
      <c r="B24" s="7">
        <v>1955</v>
      </c>
      <c r="C24" s="7" t="s">
        <v>23</v>
      </c>
      <c r="D24" s="23">
        <f>+D20*7.09%</f>
        <v>435439.44</v>
      </c>
    </row>
    <row r="25" spans="1:5" ht="45.6" x14ac:dyDescent="0.3">
      <c r="A25" s="6" t="s">
        <v>3</v>
      </c>
      <c r="B25" s="7">
        <v>1955</v>
      </c>
      <c r="C25" s="7" t="s">
        <v>24</v>
      </c>
      <c r="D25" s="23">
        <f>+D20*1.3%</f>
        <v>79840.800000000003</v>
      </c>
    </row>
    <row r="26" spans="1:5" ht="34.200000000000003" x14ac:dyDescent="0.3">
      <c r="A26" s="6" t="s">
        <v>3</v>
      </c>
      <c r="B26" s="7">
        <v>9996</v>
      </c>
      <c r="C26" s="7" t="s">
        <v>25</v>
      </c>
      <c r="D26" s="23">
        <v>150000</v>
      </c>
    </row>
    <row r="27" spans="1:5" ht="42.75" customHeight="1" x14ac:dyDescent="0.3">
      <c r="A27" s="6" t="s">
        <v>3</v>
      </c>
      <c r="B27" s="7">
        <v>1955</v>
      </c>
      <c r="C27" s="7" t="s">
        <v>26</v>
      </c>
      <c r="D27" s="23">
        <f>31389480*0.15%+50000</f>
        <v>97084.22</v>
      </c>
      <c r="E27" s="21"/>
    </row>
    <row r="28" spans="1:5" ht="57" x14ac:dyDescent="0.3">
      <c r="A28" s="6" t="s">
        <v>3</v>
      </c>
      <c r="B28" s="7">
        <v>1955</v>
      </c>
      <c r="C28" s="7" t="s">
        <v>29</v>
      </c>
      <c r="D28" s="23">
        <v>1000000</v>
      </c>
    </row>
    <row r="29" spans="1:5" ht="61.5" customHeight="1" x14ac:dyDescent="0.3">
      <c r="A29" s="6" t="s">
        <v>3</v>
      </c>
      <c r="B29" s="7">
        <v>1955</v>
      </c>
      <c r="C29" s="7" t="s">
        <v>30</v>
      </c>
      <c r="D29" s="23">
        <f>+D28*0.18</f>
        <v>180000</v>
      </c>
    </row>
    <row r="30" spans="1:5" x14ac:dyDescent="0.3">
      <c r="A30" s="8"/>
      <c r="B30" s="9"/>
      <c r="C30" s="10" t="s">
        <v>31</v>
      </c>
      <c r="D30" s="24">
        <f>SUM(D6:D29)</f>
        <v>34699360.25</v>
      </c>
    </row>
    <row r="31" spans="1:5" x14ac:dyDescent="0.3">
      <c r="D31" s="21"/>
    </row>
    <row r="32" spans="1:5" x14ac:dyDescent="0.3">
      <c r="D32" s="21"/>
    </row>
    <row r="33" spans="4:4" x14ac:dyDescent="0.3">
      <c r="D33" s="25"/>
    </row>
    <row r="34" spans="4:4" x14ac:dyDescent="0.3">
      <c r="D34" s="25"/>
    </row>
    <row r="42" spans="4:4" x14ac:dyDescent="0.3">
      <c r="D42" s="25"/>
    </row>
    <row r="43" spans="4:4" x14ac:dyDescent="0.3">
      <c r="D43" s="25"/>
    </row>
    <row r="44" spans="4:4" x14ac:dyDescent="0.3">
      <c r="D44" s="25"/>
    </row>
    <row r="45" spans="4:4" x14ac:dyDescent="0.3">
      <c r="D45" s="25"/>
    </row>
    <row r="46" spans="4:4" x14ac:dyDescent="0.3">
      <c r="D46" s="25"/>
    </row>
  </sheetData>
  <pageMargins left="0.7" right="0.7" top="0.75" bottom="0.75" header="0.3" footer="0.3"/>
  <pageSetup orientation="portrait" horizontalDpi="120" verticalDpi="7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9"/>
  <sheetViews>
    <sheetView showGridLines="0" zoomScaleNormal="100" workbookViewId="0">
      <selection activeCell="K6" sqref="K6"/>
    </sheetView>
  </sheetViews>
  <sheetFormatPr baseColWidth="10" defaultRowHeight="48" customHeight="1" x14ac:dyDescent="0.3"/>
  <cols>
    <col min="2" max="2" width="12.77734375" customWidth="1"/>
    <col min="3" max="3" width="38.109375" customWidth="1"/>
    <col min="4" max="4" width="21.21875" bestFit="1" customWidth="1"/>
    <col min="7" max="7" width="15.109375" customWidth="1"/>
  </cols>
  <sheetData>
    <row r="2" spans="1:7" ht="48" customHeight="1" x14ac:dyDescent="0.3">
      <c r="B2" t="s">
        <v>176</v>
      </c>
    </row>
    <row r="4" spans="1:7" ht="48" customHeight="1" x14ac:dyDescent="0.3">
      <c r="A4" s="11" t="s">
        <v>0</v>
      </c>
      <c r="B4" s="12" t="s">
        <v>194</v>
      </c>
      <c r="C4" s="12" t="s">
        <v>2</v>
      </c>
      <c r="D4" s="12">
        <v>2022</v>
      </c>
    </row>
    <row r="5" spans="1:7" ht="48" customHeight="1" x14ac:dyDescent="0.3">
      <c r="A5" s="13" t="s">
        <v>32</v>
      </c>
      <c r="B5" s="14">
        <v>9995</v>
      </c>
      <c r="C5" s="63" t="s">
        <v>33</v>
      </c>
      <c r="D5" s="60">
        <v>150000</v>
      </c>
      <c r="G5" s="25"/>
    </row>
    <row r="6" spans="1:7" ht="48" customHeight="1" x14ac:dyDescent="0.3">
      <c r="A6" s="6" t="s">
        <v>32</v>
      </c>
      <c r="B6" s="7">
        <v>9995</v>
      </c>
      <c r="C6" s="7" t="s">
        <v>34</v>
      </c>
      <c r="D6" s="61">
        <v>50000</v>
      </c>
    </row>
    <row r="7" spans="1:7" ht="48" customHeight="1" x14ac:dyDescent="0.3">
      <c r="A7" s="6" t="s">
        <v>32</v>
      </c>
      <c r="B7" s="7">
        <v>9998</v>
      </c>
      <c r="C7" s="7" t="s">
        <v>35</v>
      </c>
      <c r="D7" s="61">
        <v>300000</v>
      </c>
    </row>
    <row r="8" spans="1:7" ht="48" customHeight="1" x14ac:dyDescent="0.3">
      <c r="A8" s="6" t="s">
        <v>32</v>
      </c>
      <c r="B8" s="7">
        <v>1955</v>
      </c>
      <c r="C8" s="7" t="s">
        <v>36</v>
      </c>
      <c r="D8" s="61">
        <v>300000</v>
      </c>
    </row>
    <row r="9" spans="1:7" ht="48" customHeight="1" x14ac:dyDescent="0.3">
      <c r="A9" s="6" t="s">
        <v>32</v>
      </c>
      <c r="B9" s="7">
        <v>1955</v>
      </c>
      <c r="C9" s="7" t="s">
        <v>37</v>
      </c>
      <c r="D9" s="61">
        <v>600000</v>
      </c>
    </row>
    <row r="10" spans="1:7" ht="48" customHeight="1" x14ac:dyDescent="0.3">
      <c r="A10" s="6" t="s">
        <v>32</v>
      </c>
      <c r="B10" s="7">
        <v>1955</v>
      </c>
      <c r="C10" s="7" t="s">
        <v>38</v>
      </c>
      <c r="D10" s="61">
        <v>300000</v>
      </c>
    </row>
    <row r="11" spans="1:7" ht="48" customHeight="1" x14ac:dyDescent="0.3">
      <c r="A11" s="6" t="s">
        <v>32</v>
      </c>
      <c r="B11" s="7">
        <v>9992</v>
      </c>
      <c r="C11" s="7" t="s">
        <v>26</v>
      </c>
      <c r="D11" s="61">
        <f>30133900*0.15%+50000</f>
        <v>95200.85</v>
      </c>
      <c r="G11" s="25"/>
    </row>
    <row r="12" spans="1:7" ht="48" customHeight="1" x14ac:dyDescent="0.3">
      <c r="A12" s="6" t="s">
        <v>32</v>
      </c>
      <c r="B12" s="7">
        <v>9992</v>
      </c>
      <c r="C12" s="7" t="s">
        <v>39</v>
      </c>
      <c r="D12" s="61">
        <v>400000</v>
      </c>
    </row>
    <row r="13" spans="1:7" ht="48" customHeight="1" x14ac:dyDescent="0.3">
      <c r="A13" s="6" t="s">
        <v>32</v>
      </c>
      <c r="B13" s="7">
        <v>9992</v>
      </c>
      <c r="C13" s="7" t="s">
        <v>27</v>
      </c>
      <c r="D13" s="61">
        <f>239000*12</f>
        <v>2868000</v>
      </c>
    </row>
    <row r="14" spans="1:7" ht="48" customHeight="1" x14ac:dyDescent="0.3">
      <c r="A14" s="6" t="s">
        <v>32</v>
      </c>
      <c r="B14" s="7">
        <v>9995</v>
      </c>
      <c r="C14" s="7" t="s">
        <v>174</v>
      </c>
      <c r="D14" s="61">
        <v>1500000</v>
      </c>
    </row>
    <row r="15" spans="1:7" ht="48" customHeight="1" x14ac:dyDescent="0.3">
      <c r="A15" s="6" t="s">
        <v>32</v>
      </c>
      <c r="B15" s="7">
        <v>9998</v>
      </c>
      <c r="C15" s="7" t="s">
        <v>40</v>
      </c>
      <c r="D15" s="61">
        <v>4000000</v>
      </c>
    </row>
    <row r="16" spans="1:7" ht="48" customHeight="1" x14ac:dyDescent="0.3">
      <c r="A16" s="6" t="s">
        <v>32</v>
      </c>
      <c r="B16" s="7">
        <v>9992</v>
      </c>
      <c r="C16" s="7" t="s">
        <v>41</v>
      </c>
      <c r="D16" s="61">
        <v>3500000</v>
      </c>
    </row>
    <row r="17" spans="1:4" ht="48" customHeight="1" x14ac:dyDescent="0.3">
      <c r="A17" s="6" t="s">
        <v>32</v>
      </c>
      <c r="B17" s="7">
        <v>9998</v>
      </c>
      <c r="C17" s="7" t="s">
        <v>42</v>
      </c>
      <c r="D17" s="61">
        <v>2400000</v>
      </c>
    </row>
    <row r="18" spans="1:4" ht="48" customHeight="1" x14ac:dyDescent="0.3">
      <c r="A18" s="6" t="s">
        <v>32</v>
      </c>
      <c r="B18" s="7">
        <v>1955</v>
      </c>
      <c r="C18" s="7" t="s">
        <v>43</v>
      </c>
      <c r="D18" s="61">
        <v>2000000</v>
      </c>
    </row>
    <row r="19" spans="1:4" ht="48" customHeight="1" x14ac:dyDescent="0.3">
      <c r="A19" s="6" t="s">
        <v>32</v>
      </c>
      <c r="B19" s="7">
        <v>9998</v>
      </c>
      <c r="C19" s="7" t="s">
        <v>44</v>
      </c>
      <c r="D19" s="61">
        <v>2000000</v>
      </c>
    </row>
    <row r="20" spans="1:4" ht="48" customHeight="1" x14ac:dyDescent="0.3">
      <c r="A20" s="6" t="s">
        <v>32</v>
      </c>
      <c r="B20" s="7">
        <v>9995</v>
      </c>
      <c r="C20" s="7" t="s">
        <v>45</v>
      </c>
      <c r="D20" s="61">
        <v>3000000</v>
      </c>
    </row>
    <row r="21" spans="1:4" ht="48" customHeight="1" x14ac:dyDescent="0.3">
      <c r="A21" s="6" t="s">
        <v>32</v>
      </c>
      <c r="B21" s="7">
        <v>1955</v>
      </c>
      <c r="C21" s="7" t="s">
        <v>46</v>
      </c>
      <c r="D21" s="61">
        <v>5000000</v>
      </c>
    </row>
    <row r="22" spans="1:4" ht="48" customHeight="1" x14ac:dyDescent="0.3">
      <c r="A22" s="6" t="s">
        <v>32</v>
      </c>
      <c r="B22" s="7">
        <v>9995</v>
      </c>
      <c r="C22" s="7" t="s">
        <v>47</v>
      </c>
      <c r="D22" s="61">
        <f>150000+50000</f>
        <v>200000</v>
      </c>
    </row>
    <row r="23" spans="1:4" ht="48" customHeight="1" x14ac:dyDescent="0.3">
      <c r="A23" s="6" t="s">
        <v>32</v>
      </c>
      <c r="B23" s="7">
        <v>9996</v>
      </c>
      <c r="C23" s="7" t="s">
        <v>48</v>
      </c>
      <c r="D23" s="61">
        <v>1448184.99</v>
      </c>
    </row>
    <row r="24" spans="1:4" ht="48" customHeight="1" x14ac:dyDescent="0.3">
      <c r="A24" s="6" t="s">
        <v>32</v>
      </c>
      <c r="B24" s="7">
        <v>9992</v>
      </c>
      <c r="C24" s="7" t="s">
        <v>49</v>
      </c>
      <c r="D24" s="61">
        <v>200000</v>
      </c>
    </row>
    <row r="25" spans="1:4" ht="48" customHeight="1" x14ac:dyDescent="0.3">
      <c r="A25" s="6" t="s">
        <v>32</v>
      </c>
      <c r="B25" s="7">
        <v>1955</v>
      </c>
      <c r="C25" s="7" t="s">
        <v>28</v>
      </c>
      <c r="D25" s="61">
        <v>3000000</v>
      </c>
    </row>
    <row r="26" spans="1:4" ht="48" customHeight="1" x14ac:dyDescent="0.35">
      <c r="A26" s="31" t="s">
        <v>50</v>
      </c>
      <c r="B26" s="32"/>
      <c r="C26" s="32"/>
      <c r="D26" s="62">
        <f>SUM(D5:D25)</f>
        <v>33311385.84</v>
      </c>
    </row>
    <row r="28" spans="1:4" ht="48" customHeight="1" x14ac:dyDescent="0.3">
      <c r="D28" s="25">
        <f>+D26-'Distribución de Ingresos por Cu'!C10</f>
        <v>0</v>
      </c>
    </row>
    <row r="29" spans="1:4" ht="48" customHeight="1" x14ac:dyDescent="0.3">
      <c r="D29" s="54"/>
    </row>
  </sheetData>
  <pageMargins left="0.7" right="0.7" top="0.75" bottom="0.75" header="0.3" footer="0.3"/>
  <pageSetup orientation="portrait" horizontalDpi="120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7"/>
  <sheetViews>
    <sheetView zoomScale="120" workbookViewId="0">
      <selection activeCell="G11" sqref="E8:G11"/>
    </sheetView>
  </sheetViews>
  <sheetFormatPr baseColWidth="10" defaultRowHeight="14.4" x14ac:dyDescent="0.3"/>
  <cols>
    <col min="3" max="3" width="37.5546875" customWidth="1"/>
    <col min="4" max="4" width="17.109375" customWidth="1"/>
    <col min="5" max="5" width="14" bestFit="1" customWidth="1"/>
    <col min="7" max="7" width="13.88671875" customWidth="1"/>
  </cols>
  <sheetData>
    <row r="3" spans="1:4" x14ac:dyDescent="0.3">
      <c r="B3" t="s">
        <v>175</v>
      </c>
    </row>
    <row r="5" spans="1:4" ht="15" thickBot="1" x14ac:dyDescent="0.35"/>
    <row r="6" spans="1:4" ht="27.6" x14ac:dyDescent="0.3">
      <c r="A6" s="1" t="s">
        <v>0</v>
      </c>
      <c r="B6" s="2" t="s">
        <v>1</v>
      </c>
      <c r="C6" s="2" t="s">
        <v>2</v>
      </c>
      <c r="D6" s="15">
        <v>2022</v>
      </c>
    </row>
    <row r="7" spans="1:4" ht="22.8" x14ac:dyDescent="0.3">
      <c r="A7" s="4" t="s">
        <v>51</v>
      </c>
      <c r="B7" s="5">
        <v>9998</v>
      </c>
      <c r="C7" s="5" t="s">
        <v>52</v>
      </c>
      <c r="D7" s="22">
        <v>100000</v>
      </c>
    </row>
    <row r="8" spans="1:4" ht="22.8" x14ac:dyDescent="0.3">
      <c r="A8" s="6" t="s">
        <v>51</v>
      </c>
      <c r="B8" s="7">
        <v>9996</v>
      </c>
      <c r="C8" s="7" t="s">
        <v>53</v>
      </c>
      <c r="D8" s="23">
        <v>100000</v>
      </c>
    </row>
    <row r="9" spans="1:4" ht="50.25" customHeight="1" x14ac:dyDescent="0.3">
      <c r="A9" s="6" t="s">
        <v>51</v>
      </c>
      <c r="B9" s="7">
        <v>9995</v>
      </c>
      <c r="C9" s="7" t="s">
        <v>54</v>
      </c>
      <c r="D9" s="23">
        <v>20000</v>
      </c>
    </row>
    <row r="10" spans="1:4" ht="41.25" customHeight="1" x14ac:dyDescent="0.3">
      <c r="A10" s="6" t="s">
        <v>51</v>
      </c>
      <c r="B10" s="7">
        <v>1955</v>
      </c>
      <c r="C10" s="7" t="s">
        <v>55</v>
      </c>
      <c r="D10" s="23">
        <v>1000000</v>
      </c>
    </row>
    <row r="11" spans="1:4" ht="70.5" customHeight="1" x14ac:dyDescent="0.3">
      <c r="A11" s="6" t="s">
        <v>51</v>
      </c>
      <c r="B11" s="7">
        <v>1955</v>
      </c>
      <c r="C11" s="7" t="s">
        <v>11</v>
      </c>
      <c r="D11" s="23">
        <v>401968.24</v>
      </c>
    </row>
    <row r="12" spans="1:4" ht="65.25" customHeight="1" x14ac:dyDescent="0.3">
      <c r="A12" s="6" t="s">
        <v>51</v>
      </c>
      <c r="B12" s="7">
        <v>9992</v>
      </c>
      <c r="C12" s="7" t="s">
        <v>56</v>
      </c>
      <c r="D12" s="23">
        <v>660000</v>
      </c>
    </row>
    <row r="13" spans="1:4" ht="42" customHeight="1" x14ac:dyDescent="0.3">
      <c r="A13" s="6" t="s">
        <v>51</v>
      </c>
      <c r="B13" s="7">
        <v>1955</v>
      </c>
      <c r="C13" s="7" t="s">
        <v>57</v>
      </c>
      <c r="D13" s="23">
        <v>100000</v>
      </c>
    </row>
    <row r="14" spans="1:4" ht="55.5" customHeight="1" x14ac:dyDescent="0.3">
      <c r="A14" s="6" t="s">
        <v>51</v>
      </c>
      <c r="B14" s="7">
        <v>9992</v>
      </c>
      <c r="C14" s="7" t="s">
        <v>58</v>
      </c>
      <c r="D14" s="23">
        <v>200000</v>
      </c>
    </row>
    <row r="15" spans="1:4" ht="54" customHeight="1" x14ac:dyDescent="0.3">
      <c r="A15" s="6" t="s">
        <v>51</v>
      </c>
      <c r="B15" s="7">
        <v>9992</v>
      </c>
      <c r="C15" s="7" t="s">
        <v>59</v>
      </c>
      <c r="D15" s="23">
        <v>30000</v>
      </c>
    </row>
    <row r="16" spans="1:4" ht="78.75" customHeight="1" x14ac:dyDescent="0.3">
      <c r="A16" s="6" t="s">
        <v>51</v>
      </c>
      <c r="B16" s="7">
        <v>1955</v>
      </c>
      <c r="C16" s="7" t="s">
        <v>60</v>
      </c>
      <c r="D16" s="23">
        <v>300000</v>
      </c>
    </row>
    <row r="17" spans="1:7" ht="52.5" customHeight="1" x14ac:dyDescent="0.3">
      <c r="A17" s="6" t="s">
        <v>51</v>
      </c>
      <c r="B17" s="7">
        <v>9996</v>
      </c>
      <c r="C17" s="7" t="s">
        <v>61</v>
      </c>
      <c r="D17" s="26">
        <v>111495.24</v>
      </c>
      <c r="E17" s="25"/>
      <c r="G17" s="25"/>
    </row>
    <row r="18" spans="1:7" ht="42.75" customHeight="1" x14ac:dyDescent="0.3">
      <c r="A18" s="6" t="s">
        <v>51</v>
      </c>
      <c r="B18" s="7">
        <v>1955</v>
      </c>
      <c r="C18" s="7" t="s">
        <v>62</v>
      </c>
      <c r="D18" s="23">
        <v>20000</v>
      </c>
    </row>
    <row r="19" spans="1:7" ht="60" customHeight="1" x14ac:dyDescent="0.3">
      <c r="A19" s="6" t="s">
        <v>51</v>
      </c>
      <c r="B19" s="7">
        <v>9995</v>
      </c>
      <c r="C19" s="7" t="s">
        <v>18</v>
      </c>
      <c r="D19" s="23">
        <v>200000</v>
      </c>
    </row>
    <row r="20" spans="1:7" ht="60" customHeight="1" x14ac:dyDescent="0.3">
      <c r="A20" s="6" t="s">
        <v>51</v>
      </c>
      <c r="B20" s="7">
        <v>9995</v>
      </c>
      <c r="C20" s="7" t="s">
        <v>63</v>
      </c>
      <c r="D20" s="23">
        <v>40000</v>
      </c>
    </row>
    <row r="21" spans="1:7" ht="69" customHeight="1" x14ac:dyDescent="0.3">
      <c r="A21" s="6" t="s">
        <v>51</v>
      </c>
      <c r="B21" s="7">
        <v>1955</v>
      </c>
      <c r="C21" s="7" t="s">
        <v>64</v>
      </c>
      <c r="D21" s="23">
        <v>1500000</v>
      </c>
    </row>
    <row r="22" spans="1:7" ht="43.5" customHeight="1" x14ac:dyDescent="0.3">
      <c r="A22" s="6" t="s">
        <v>51</v>
      </c>
      <c r="B22" s="7">
        <v>9996</v>
      </c>
      <c r="C22" s="7" t="s">
        <v>65</v>
      </c>
      <c r="D22" s="23">
        <v>210000</v>
      </c>
    </row>
    <row r="23" spans="1:7" ht="37.5" customHeight="1" x14ac:dyDescent="0.3">
      <c r="A23" s="6" t="s">
        <v>51</v>
      </c>
      <c r="B23" s="7">
        <v>1955</v>
      </c>
      <c r="C23" s="7" t="s">
        <v>66</v>
      </c>
      <c r="D23" s="23">
        <v>275000</v>
      </c>
    </row>
    <row r="24" spans="1:7" ht="45.75" customHeight="1" x14ac:dyDescent="0.3">
      <c r="A24" s="6" t="s">
        <v>51</v>
      </c>
      <c r="B24" s="7">
        <v>9995</v>
      </c>
      <c r="C24" s="7" t="s">
        <v>67</v>
      </c>
      <c r="D24" s="23">
        <v>105000</v>
      </c>
    </row>
    <row r="25" spans="1:7" ht="33" customHeight="1" x14ac:dyDescent="0.3">
      <c r="A25" s="6" t="s">
        <v>51</v>
      </c>
      <c r="B25" s="7">
        <v>1955</v>
      </c>
      <c r="C25" s="7" t="s">
        <v>68</v>
      </c>
      <c r="D25" s="23">
        <v>500000</v>
      </c>
    </row>
    <row r="26" spans="1:7" ht="33.75" customHeight="1" x14ac:dyDescent="0.3">
      <c r="A26" s="6" t="s">
        <v>51</v>
      </c>
      <c r="B26" s="7">
        <v>1955</v>
      </c>
      <c r="C26" s="7" t="s">
        <v>69</v>
      </c>
      <c r="D26" s="23">
        <v>175000</v>
      </c>
    </row>
    <row r="27" spans="1:7" ht="35.25" customHeight="1" x14ac:dyDescent="0.3">
      <c r="A27" s="6" t="s">
        <v>51</v>
      </c>
      <c r="B27" s="7">
        <v>9995</v>
      </c>
      <c r="C27" s="7" t="s">
        <v>70</v>
      </c>
      <c r="D27" s="23">
        <v>200000</v>
      </c>
    </row>
    <row r="28" spans="1:7" ht="39.75" customHeight="1" x14ac:dyDescent="0.3">
      <c r="A28" s="6" t="s">
        <v>51</v>
      </c>
      <c r="B28" s="7">
        <v>9996</v>
      </c>
      <c r="C28" s="7" t="s">
        <v>71</v>
      </c>
      <c r="D28" s="23">
        <v>550000</v>
      </c>
    </row>
    <row r="29" spans="1:7" ht="81" customHeight="1" x14ac:dyDescent="0.3">
      <c r="A29" s="6" t="s">
        <v>51</v>
      </c>
      <c r="B29" s="7">
        <v>9996</v>
      </c>
      <c r="C29" s="7" t="s">
        <v>72</v>
      </c>
      <c r="D29" s="23">
        <v>400000</v>
      </c>
    </row>
    <row r="30" spans="1:7" ht="22.8" x14ac:dyDescent="0.3">
      <c r="A30" s="6" t="s">
        <v>51</v>
      </c>
      <c r="B30" s="7">
        <v>9996</v>
      </c>
      <c r="C30" s="7" t="s">
        <v>73</v>
      </c>
      <c r="D30" s="23">
        <v>70000</v>
      </c>
    </row>
    <row r="31" spans="1:7" ht="22.8" x14ac:dyDescent="0.3">
      <c r="A31" s="6" t="s">
        <v>51</v>
      </c>
      <c r="B31" s="7">
        <v>9995</v>
      </c>
      <c r="C31" s="7" t="s">
        <v>74</v>
      </c>
      <c r="D31" s="23">
        <v>100000</v>
      </c>
    </row>
    <row r="32" spans="1:7" ht="69" customHeight="1" x14ac:dyDescent="0.3">
      <c r="A32" s="6" t="s">
        <v>51</v>
      </c>
      <c r="B32" s="7">
        <v>9996</v>
      </c>
      <c r="C32" s="7" t="s">
        <v>75</v>
      </c>
      <c r="D32" s="23">
        <f>175000-5000</f>
        <v>170000</v>
      </c>
    </row>
    <row r="33" spans="1:5" ht="65.25" customHeight="1" x14ac:dyDescent="0.3">
      <c r="A33" s="6" t="s">
        <v>51</v>
      </c>
      <c r="B33" s="7">
        <v>9996</v>
      </c>
      <c r="C33" s="7" t="s">
        <v>76</v>
      </c>
      <c r="D33" s="23">
        <v>50000</v>
      </c>
    </row>
    <row r="34" spans="1:5" ht="81" customHeight="1" x14ac:dyDescent="0.3">
      <c r="A34" s="6" t="s">
        <v>51</v>
      </c>
      <c r="B34" s="7">
        <v>1955</v>
      </c>
      <c r="C34" s="7" t="s">
        <v>77</v>
      </c>
      <c r="D34" s="23">
        <v>1000000</v>
      </c>
    </row>
    <row r="35" spans="1:5" ht="57" customHeight="1" x14ac:dyDescent="0.3">
      <c r="A35" s="6" t="s">
        <v>51</v>
      </c>
      <c r="B35" s="7">
        <v>9995</v>
      </c>
      <c r="C35" s="7" t="s">
        <v>78</v>
      </c>
      <c r="D35" s="23">
        <v>250000</v>
      </c>
    </row>
    <row r="36" spans="1:5" ht="34.200000000000003" x14ac:dyDescent="0.3">
      <c r="A36" s="6" t="s">
        <v>51</v>
      </c>
      <c r="B36" s="7">
        <v>9996</v>
      </c>
      <c r="C36" s="7" t="s">
        <v>79</v>
      </c>
      <c r="D36" s="23">
        <v>1000000</v>
      </c>
    </row>
    <row r="37" spans="1:5" ht="36" customHeight="1" x14ac:dyDescent="0.3">
      <c r="A37" s="6" t="s">
        <v>51</v>
      </c>
      <c r="B37" s="7">
        <v>9998</v>
      </c>
      <c r="C37" s="7" t="s">
        <v>80</v>
      </c>
      <c r="D37" s="23">
        <v>150000</v>
      </c>
    </row>
    <row r="38" spans="1:5" ht="78.75" customHeight="1" x14ac:dyDescent="0.3">
      <c r="A38" s="6" t="s">
        <v>51</v>
      </c>
      <c r="B38" s="7">
        <v>9995</v>
      </c>
      <c r="C38" s="7" t="s">
        <v>81</v>
      </c>
      <c r="D38" s="23">
        <v>200000</v>
      </c>
    </row>
    <row r="39" spans="1:5" ht="63.75" customHeight="1" x14ac:dyDescent="0.3">
      <c r="A39" s="6" t="s">
        <v>51</v>
      </c>
      <c r="B39" s="7">
        <v>9996</v>
      </c>
      <c r="C39" s="7" t="s">
        <v>82</v>
      </c>
      <c r="D39" s="23">
        <f>200000+4613.46</f>
        <v>204613.46</v>
      </c>
    </row>
    <row r="40" spans="1:5" ht="41.25" customHeight="1" x14ac:dyDescent="0.3">
      <c r="A40" s="6" t="s">
        <v>51</v>
      </c>
      <c r="B40" s="7">
        <v>1955</v>
      </c>
      <c r="C40" s="7" t="s">
        <v>83</v>
      </c>
      <c r="D40" s="23">
        <f>640500*12*1.4+2000000+3219400</f>
        <v>15979800</v>
      </c>
      <c r="E40" s="54"/>
    </row>
    <row r="41" spans="1:5" ht="35.25" customHeight="1" x14ac:dyDescent="0.3">
      <c r="A41" s="6" t="s">
        <v>51</v>
      </c>
      <c r="B41" s="7">
        <v>2006</v>
      </c>
      <c r="C41" s="7" t="s">
        <v>84</v>
      </c>
      <c r="D41" s="23">
        <f>+D40/12</f>
        <v>1331650</v>
      </c>
      <c r="E41" s="54"/>
    </row>
    <row r="42" spans="1:5" ht="34.200000000000003" x14ac:dyDescent="0.3">
      <c r="A42" s="6" t="s">
        <v>51</v>
      </c>
      <c r="B42" s="7">
        <v>1955</v>
      </c>
      <c r="C42" s="7" t="s">
        <v>85</v>
      </c>
      <c r="D42" s="23">
        <f>+D40*7.1%</f>
        <v>1134565.7999999998</v>
      </c>
      <c r="E42" s="54"/>
    </row>
    <row r="43" spans="1:5" ht="34.200000000000003" x14ac:dyDescent="0.3">
      <c r="A43" s="6" t="s">
        <v>51</v>
      </c>
      <c r="B43" s="7">
        <v>1955</v>
      </c>
      <c r="C43" s="7" t="s">
        <v>86</v>
      </c>
      <c r="D43" s="23">
        <f>+D40*1.3%</f>
        <v>207737.40000000002</v>
      </c>
    </row>
    <row r="44" spans="1:5" ht="39" customHeight="1" x14ac:dyDescent="0.3">
      <c r="A44" s="6" t="s">
        <v>51</v>
      </c>
      <c r="B44" s="7">
        <v>1955</v>
      </c>
      <c r="C44" s="7" t="s">
        <v>87</v>
      </c>
      <c r="D44" s="23">
        <f>154000*12*1.2+300000+81287.07-19365.29</f>
        <v>2579521.7799999998</v>
      </c>
    </row>
    <row r="45" spans="1:5" ht="39" customHeight="1" x14ac:dyDescent="0.3">
      <c r="A45" s="6"/>
      <c r="B45" s="7"/>
      <c r="C45" s="7" t="s">
        <v>186</v>
      </c>
      <c r="D45" s="23">
        <v>1320000</v>
      </c>
    </row>
    <row r="46" spans="1:5" ht="39" customHeight="1" x14ac:dyDescent="0.3">
      <c r="A46" s="6"/>
      <c r="B46" s="7"/>
      <c r="C46" s="7" t="s">
        <v>187</v>
      </c>
      <c r="D46" s="23">
        <v>110000</v>
      </c>
    </row>
    <row r="47" spans="1:5" ht="36" customHeight="1" x14ac:dyDescent="0.3">
      <c r="A47" s="6" t="s">
        <v>51</v>
      </c>
      <c r="B47" s="7">
        <v>2006</v>
      </c>
      <c r="C47" s="7" t="s">
        <v>88</v>
      </c>
      <c r="D47" s="23">
        <v>214960.15</v>
      </c>
    </row>
    <row r="48" spans="1:5" ht="34.200000000000003" x14ac:dyDescent="0.3">
      <c r="A48" s="6" t="s">
        <v>51</v>
      </c>
      <c r="B48" s="7">
        <v>9995</v>
      </c>
      <c r="C48" s="7" t="s">
        <v>89</v>
      </c>
      <c r="D48" s="23">
        <f>+D44*7.1%</f>
        <v>183146.04637999996</v>
      </c>
    </row>
    <row r="49" spans="1:4" ht="34.200000000000003" x14ac:dyDescent="0.3">
      <c r="A49" s="6" t="s">
        <v>51</v>
      </c>
      <c r="B49" s="7">
        <v>9995</v>
      </c>
      <c r="C49" s="7" t="s">
        <v>90</v>
      </c>
      <c r="D49" s="23">
        <f>+D44*7.09%</f>
        <v>182888.09420200001</v>
      </c>
    </row>
    <row r="50" spans="1:4" ht="34.200000000000003" x14ac:dyDescent="0.3">
      <c r="A50" s="6" t="s">
        <v>51</v>
      </c>
      <c r="B50" s="7">
        <v>9995</v>
      </c>
      <c r="C50" s="7" t="s">
        <v>91</v>
      </c>
      <c r="D50" s="23">
        <f>+D44*1.3%</f>
        <v>33533.78314</v>
      </c>
    </row>
    <row r="51" spans="1:4" ht="22.8" x14ac:dyDescent="0.3">
      <c r="A51" s="6" t="s">
        <v>51</v>
      </c>
      <c r="B51" s="7">
        <v>1955</v>
      </c>
      <c r="C51" s="7" t="s">
        <v>92</v>
      </c>
      <c r="D51" s="23">
        <f>137000*12*1.2</f>
        <v>1972800</v>
      </c>
    </row>
    <row r="52" spans="1:4" ht="22.8" x14ac:dyDescent="0.3">
      <c r="A52" s="6" t="s">
        <v>51</v>
      </c>
      <c r="B52" s="7">
        <v>2006</v>
      </c>
      <c r="C52" s="7" t="s">
        <v>93</v>
      </c>
      <c r="D52" s="23">
        <f>+D51/12</f>
        <v>164400</v>
      </c>
    </row>
    <row r="53" spans="1:4" ht="34.200000000000003" x14ac:dyDescent="0.3">
      <c r="A53" s="6" t="s">
        <v>51</v>
      </c>
      <c r="B53" s="7">
        <v>9995</v>
      </c>
      <c r="C53" s="7" t="s">
        <v>94</v>
      </c>
      <c r="D53" s="23">
        <f>+D51*7.1%</f>
        <v>140068.79999999999</v>
      </c>
    </row>
    <row r="54" spans="1:4" ht="55.5" customHeight="1" x14ac:dyDescent="0.3">
      <c r="A54" s="6" t="s">
        <v>51</v>
      </c>
      <c r="B54" s="7">
        <v>9995</v>
      </c>
      <c r="C54" s="7" t="s">
        <v>95</v>
      </c>
      <c r="D54" s="23">
        <f>+D51*7.09%</f>
        <v>139871.52000000002</v>
      </c>
    </row>
    <row r="55" spans="1:4" ht="63" customHeight="1" x14ac:dyDescent="0.3">
      <c r="A55" s="6" t="s">
        <v>51</v>
      </c>
      <c r="B55" s="7">
        <v>9996</v>
      </c>
      <c r="C55" s="7" t="s">
        <v>96</v>
      </c>
      <c r="D55" s="23">
        <f>+D51*1.3%</f>
        <v>25646.400000000001</v>
      </c>
    </row>
    <row r="56" spans="1:4" ht="55.5" customHeight="1" x14ac:dyDescent="0.3">
      <c r="A56" s="6" t="s">
        <v>51</v>
      </c>
      <c r="B56" s="7">
        <v>9996</v>
      </c>
      <c r="C56" s="7" t="s">
        <v>97</v>
      </c>
      <c r="D56" s="23">
        <v>2300000</v>
      </c>
    </row>
    <row r="57" spans="1:4" ht="37.5" customHeight="1" x14ac:dyDescent="0.3">
      <c r="A57" s="6" t="s">
        <v>51</v>
      </c>
      <c r="B57" s="7">
        <v>9995</v>
      </c>
      <c r="C57" s="7" t="s">
        <v>98</v>
      </c>
      <c r="D57" s="23">
        <v>300000</v>
      </c>
    </row>
    <row r="58" spans="1:4" ht="34.200000000000003" x14ac:dyDescent="0.3">
      <c r="A58" s="6" t="s">
        <v>51</v>
      </c>
      <c r="B58" s="7">
        <v>9995</v>
      </c>
      <c r="C58" s="7" t="s">
        <v>99</v>
      </c>
      <c r="D58" s="23">
        <v>60000</v>
      </c>
    </row>
    <row r="59" spans="1:4" ht="40.5" customHeight="1" x14ac:dyDescent="0.3">
      <c r="A59" s="6" t="s">
        <v>51</v>
      </c>
      <c r="B59" s="7">
        <v>1955</v>
      </c>
      <c r="C59" s="7" t="s">
        <v>117</v>
      </c>
      <c r="D59" s="23">
        <f>137770*12</f>
        <v>1653240</v>
      </c>
    </row>
    <row r="60" spans="1:4" ht="54.75" customHeight="1" x14ac:dyDescent="0.3">
      <c r="A60" s="6" t="s">
        <v>51</v>
      </c>
      <c r="B60" s="7">
        <v>1955</v>
      </c>
      <c r="C60" s="7" t="s">
        <v>114</v>
      </c>
      <c r="D60" s="23">
        <v>2600000</v>
      </c>
    </row>
    <row r="61" spans="1:4" ht="55.5" customHeight="1" x14ac:dyDescent="0.3">
      <c r="A61" s="6" t="s">
        <v>51</v>
      </c>
      <c r="B61" s="7">
        <v>1955</v>
      </c>
      <c r="C61" s="7" t="s">
        <v>29</v>
      </c>
      <c r="D61" s="23">
        <v>100</v>
      </c>
    </row>
    <row r="62" spans="1:4" ht="53.25" customHeight="1" x14ac:dyDescent="0.3">
      <c r="A62" s="6"/>
      <c r="B62" s="7"/>
      <c r="C62" s="7" t="s">
        <v>115</v>
      </c>
      <c r="D62" s="23">
        <v>100</v>
      </c>
    </row>
    <row r="63" spans="1:4" ht="76.5" customHeight="1" x14ac:dyDescent="0.3">
      <c r="A63" s="6" t="s">
        <v>51</v>
      </c>
      <c r="B63" s="7">
        <v>9996</v>
      </c>
      <c r="C63" s="7" t="s">
        <v>30</v>
      </c>
      <c r="D63" s="23">
        <v>100</v>
      </c>
    </row>
    <row r="64" spans="1:4" ht="43.2" x14ac:dyDescent="0.3">
      <c r="A64" s="31" t="s">
        <v>31</v>
      </c>
      <c r="B64" s="32"/>
      <c r="C64" s="32"/>
      <c r="D64" s="33">
        <f>SUM(D7:D63)</f>
        <v>43027206.713721998</v>
      </c>
    </row>
    <row r="66" spans="4:5" x14ac:dyDescent="0.3">
      <c r="D66" s="25"/>
      <c r="E66" s="25"/>
    </row>
    <row r="67" spans="4:5" x14ac:dyDescent="0.3">
      <c r="D67" s="54"/>
      <c r="E67" s="25"/>
    </row>
  </sheetData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27"/>
  <sheetViews>
    <sheetView tabSelected="1" topLeftCell="A7" workbookViewId="0">
      <selection activeCell="C11" sqref="C11"/>
    </sheetView>
  </sheetViews>
  <sheetFormatPr baseColWidth="10" defaultRowHeight="14.4" x14ac:dyDescent="0.3"/>
  <cols>
    <col min="3" max="3" width="32.77734375" customWidth="1"/>
    <col min="4" max="4" width="20.109375" customWidth="1"/>
    <col min="5" max="5" width="15.88671875" bestFit="1" customWidth="1"/>
  </cols>
  <sheetData>
    <row r="4" spans="1:5" x14ac:dyDescent="0.3">
      <c r="B4" t="s">
        <v>177</v>
      </c>
    </row>
    <row r="7" spans="1:5" ht="27.6" x14ac:dyDescent="0.3">
      <c r="A7" s="16" t="s">
        <v>0</v>
      </c>
      <c r="B7" s="16" t="s">
        <v>170</v>
      </c>
      <c r="C7" s="16" t="s">
        <v>2</v>
      </c>
      <c r="D7" s="16" t="s">
        <v>179</v>
      </c>
    </row>
    <row r="8" spans="1:5" ht="57" x14ac:dyDescent="0.3">
      <c r="A8" s="17" t="s">
        <v>100</v>
      </c>
      <c r="B8" s="18">
        <v>9996</v>
      </c>
      <c r="C8" s="18" t="s">
        <v>26</v>
      </c>
      <c r="D8" s="27">
        <f>5022316.8*0.015%+26000</f>
        <v>26753.347519999999</v>
      </c>
      <c r="E8" s="21"/>
    </row>
    <row r="9" spans="1:5" ht="45.6" x14ac:dyDescent="0.3">
      <c r="A9" s="19" t="s">
        <v>100</v>
      </c>
      <c r="B9" s="20">
        <v>1955</v>
      </c>
      <c r="C9" s="20" t="s">
        <v>101</v>
      </c>
      <c r="D9" s="28">
        <v>1000000</v>
      </c>
    </row>
    <row r="10" spans="1:5" ht="34.200000000000003" x14ac:dyDescent="0.3">
      <c r="A10" s="19" t="s">
        <v>100</v>
      </c>
      <c r="B10" s="20">
        <v>1955</v>
      </c>
      <c r="C10" s="20" t="s">
        <v>102</v>
      </c>
      <c r="D10" s="28">
        <f>56000*12</f>
        <v>672000</v>
      </c>
    </row>
    <row r="11" spans="1:5" ht="45.6" x14ac:dyDescent="0.3">
      <c r="A11" s="19" t="s">
        <v>100</v>
      </c>
      <c r="B11" s="20">
        <v>2006</v>
      </c>
      <c r="C11" s="20" t="s">
        <v>103</v>
      </c>
      <c r="D11" s="28">
        <v>56000</v>
      </c>
    </row>
    <row r="12" spans="1:5" ht="45.6" x14ac:dyDescent="0.3">
      <c r="A12" s="19" t="s">
        <v>100</v>
      </c>
      <c r="B12" s="20">
        <v>1955</v>
      </c>
      <c r="C12" s="20" t="s">
        <v>104</v>
      </c>
      <c r="D12" s="28">
        <f>+D10*7.1%</f>
        <v>47711.999999999993</v>
      </c>
    </row>
    <row r="13" spans="1:5" ht="45.6" x14ac:dyDescent="0.3">
      <c r="A13" s="19" t="s">
        <v>100</v>
      </c>
      <c r="B13" s="20">
        <v>9996</v>
      </c>
      <c r="C13" s="20" t="s">
        <v>105</v>
      </c>
      <c r="D13" s="28">
        <f>+D10*7.09%</f>
        <v>47644.800000000003</v>
      </c>
    </row>
    <row r="14" spans="1:5" ht="57" x14ac:dyDescent="0.3">
      <c r="A14" s="19" t="s">
        <v>100</v>
      </c>
      <c r="B14" s="20">
        <v>2006</v>
      </c>
      <c r="C14" s="20" t="s">
        <v>106</v>
      </c>
      <c r="D14" s="28">
        <f>+D10*1.3%</f>
        <v>8736</v>
      </c>
    </row>
    <row r="15" spans="1:5" ht="34.200000000000003" x14ac:dyDescent="0.3">
      <c r="A15" s="19" t="s">
        <v>100</v>
      </c>
      <c r="B15" s="20">
        <v>9996</v>
      </c>
      <c r="C15" s="20" t="s">
        <v>107</v>
      </c>
      <c r="D15" s="28">
        <v>200000</v>
      </c>
    </row>
    <row r="16" spans="1:5" ht="34.200000000000003" x14ac:dyDescent="0.3">
      <c r="A16" s="19" t="s">
        <v>100</v>
      </c>
      <c r="B16" s="20">
        <v>9996</v>
      </c>
      <c r="C16" s="20" t="s">
        <v>99</v>
      </c>
      <c r="D16" s="28">
        <v>50000</v>
      </c>
    </row>
    <row r="17" spans="1:5" ht="45.6" x14ac:dyDescent="0.3">
      <c r="A17" s="19" t="s">
        <v>100</v>
      </c>
      <c r="B17" s="20">
        <v>9995</v>
      </c>
      <c r="C17" s="20" t="s">
        <v>108</v>
      </c>
      <c r="D17" s="28">
        <v>100000</v>
      </c>
    </row>
    <row r="18" spans="1:5" ht="45.6" x14ac:dyDescent="0.3">
      <c r="A18" s="19" t="s">
        <v>100</v>
      </c>
      <c r="B18" s="20">
        <v>9996</v>
      </c>
      <c r="C18" s="20" t="s">
        <v>109</v>
      </c>
      <c r="D18" s="28">
        <v>609580.84</v>
      </c>
    </row>
    <row r="19" spans="1:5" ht="34.200000000000003" x14ac:dyDescent="0.3">
      <c r="A19" s="19" t="s">
        <v>100</v>
      </c>
      <c r="B19" s="20">
        <v>1955</v>
      </c>
      <c r="C19" s="20" t="s">
        <v>110</v>
      </c>
      <c r="D19" s="28">
        <v>100000</v>
      </c>
    </row>
    <row r="20" spans="1:5" ht="34.200000000000003" x14ac:dyDescent="0.3">
      <c r="A20" s="19" t="s">
        <v>100</v>
      </c>
      <c r="B20" s="20">
        <v>9996</v>
      </c>
      <c r="C20" s="20" t="s">
        <v>111</v>
      </c>
      <c r="D20" s="28">
        <v>50000</v>
      </c>
    </row>
    <row r="21" spans="1:5" ht="45.6" x14ac:dyDescent="0.3">
      <c r="A21" s="19" t="s">
        <v>100</v>
      </c>
      <c r="B21" s="20">
        <v>1955</v>
      </c>
      <c r="C21" s="20" t="s">
        <v>112</v>
      </c>
      <c r="D21" s="28">
        <v>1000000</v>
      </c>
    </row>
    <row r="22" spans="1:5" ht="34.200000000000003" x14ac:dyDescent="0.3">
      <c r="A22" s="19" t="s">
        <v>100</v>
      </c>
      <c r="B22" s="20">
        <v>1955</v>
      </c>
      <c r="C22" s="20" t="s">
        <v>113</v>
      </c>
      <c r="D22" s="28">
        <f>425000+758470+0.65</f>
        <v>1183470.6499999999</v>
      </c>
      <c r="E22" s="25"/>
    </row>
    <row r="23" spans="1:5" ht="45.6" x14ac:dyDescent="0.3">
      <c r="A23" s="19" t="s">
        <v>100</v>
      </c>
      <c r="B23" s="20">
        <v>9995</v>
      </c>
      <c r="C23" s="20" t="s">
        <v>29</v>
      </c>
      <c r="D23" s="28">
        <f>4000000-1600000-2000000</f>
        <v>400000</v>
      </c>
    </row>
    <row r="24" spans="1:5" x14ac:dyDescent="0.3">
      <c r="C24" s="29" t="s">
        <v>116</v>
      </c>
      <c r="D24" s="30">
        <f>SUM(D8:D23)</f>
        <v>5551897.6375200003</v>
      </c>
    </row>
    <row r="26" spans="1:5" x14ac:dyDescent="0.3">
      <c r="D26" s="25"/>
      <c r="E26" s="25"/>
    </row>
    <row r="27" spans="1:5" x14ac:dyDescent="0.3">
      <c r="D27" s="25"/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zoomScale="122" zoomScaleNormal="122" workbookViewId="0">
      <selection activeCell="E52" sqref="E52"/>
    </sheetView>
  </sheetViews>
  <sheetFormatPr baseColWidth="10" defaultRowHeight="14.4" x14ac:dyDescent="0.3"/>
  <cols>
    <col min="2" max="2" width="51.44140625" customWidth="1"/>
    <col min="3" max="3" width="17.109375" customWidth="1"/>
    <col min="4" max="4" width="14.77734375" bestFit="1" customWidth="1"/>
  </cols>
  <sheetData>
    <row r="1" spans="1:3" ht="15.6" x14ac:dyDescent="0.3">
      <c r="A1" s="66" t="s">
        <v>119</v>
      </c>
      <c r="B1" s="66"/>
      <c r="C1" s="66"/>
    </row>
    <row r="2" spans="1:3" ht="15.6" x14ac:dyDescent="0.3">
      <c r="A2" s="66" t="s">
        <v>189</v>
      </c>
      <c r="B2" s="66"/>
      <c r="C2" s="66"/>
    </row>
    <row r="3" spans="1:3" ht="15.6" x14ac:dyDescent="0.3">
      <c r="A3" s="66" t="s">
        <v>178</v>
      </c>
      <c r="B3" s="66"/>
      <c r="C3" s="66"/>
    </row>
    <row r="4" spans="1:3" ht="15.6" x14ac:dyDescent="0.3">
      <c r="A4" s="66" t="s">
        <v>120</v>
      </c>
      <c r="B4" s="66"/>
      <c r="C4" s="66"/>
    </row>
    <row r="6" spans="1:3" ht="15.6" x14ac:dyDescent="0.3">
      <c r="A6" s="35" t="s">
        <v>121</v>
      </c>
      <c r="B6" s="35" t="s">
        <v>122</v>
      </c>
      <c r="C6" s="53">
        <v>2022</v>
      </c>
    </row>
    <row r="7" spans="1:3" ht="23.4" customHeight="1" x14ac:dyDescent="0.3">
      <c r="A7" s="36">
        <v>114103</v>
      </c>
      <c r="B7" s="36" t="s">
        <v>191</v>
      </c>
      <c r="C7" s="37">
        <v>800000</v>
      </c>
    </row>
    <row r="8" spans="1:3" ht="15.6" x14ac:dyDescent="0.3">
      <c r="A8" s="36">
        <v>114318</v>
      </c>
      <c r="B8" s="36" t="s">
        <v>124</v>
      </c>
      <c r="C8" s="37">
        <v>200000</v>
      </c>
    </row>
    <row r="9" spans="1:3" ht="32.4" customHeight="1" x14ac:dyDescent="0.3">
      <c r="A9" s="36">
        <v>114319</v>
      </c>
      <c r="B9" s="36" t="s">
        <v>125</v>
      </c>
      <c r="C9" s="37">
        <v>600000</v>
      </c>
    </row>
    <row r="10" spans="1:3" ht="24.6" customHeight="1" x14ac:dyDescent="0.3">
      <c r="A10" s="36">
        <v>114320</v>
      </c>
      <c r="B10" s="36" t="s">
        <v>126</v>
      </c>
      <c r="C10" s="37">
        <v>30000</v>
      </c>
    </row>
    <row r="11" spans="1:3" ht="26.4" customHeight="1" x14ac:dyDescent="0.3">
      <c r="A11" s="36">
        <v>114321</v>
      </c>
      <c r="B11" s="36" t="s">
        <v>127</v>
      </c>
      <c r="C11" s="37">
        <v>60000</v>
      </c>
    </row>
    <row r="12" spans="1:3" ht="18" customHeight="1" x14ac:dyDescent="0.3">
      <c r="A12" s="36">
        <v>114322</v>
      </c>
      <c r="B12" s="36" t="s">
        <v>128</v>
      </c>
      <c r="C12" s="37">
        <v>300000</v>
      </c>
    </row>
    <row r="13" spans="1:3" ht="22.2" customHeight="1" x14ac:dyDescent="0.3">
      <c r="A13" s="36">
        <v>114323</v>
      </c>
      <c r="B13" s="36" t="s">
        <v>129</v>
      </c>
      <c r="C13" s="37">
        <v>200000</v>
      </c>
    </row>
    <row r="14" spans="1:3" ht="22.2" customHeight="1" x14ac:dyDescent="0.3">
      <c r="A14" s="36">
        <v>114325</v>
      </c>
      <c r="B14" s="36" t="s">
        <v>130</v>
      </c>
      <c r="C14" s="37">
        <v>100000</v>
      </c>
    </row>
    <row r="15" spans="1:3" ht="23.4" customHeight="1" x14ac:dyDescent="0.3">
      <c r="A15" s="36">
        <v>114326</v>
      </c>
      <c r="B15" s="36" t="s">
        <v>131</v>
      </c>
      <c r="C15" s="37">
        <v>50000</v>
      </c>
    </row>
    <row r="16" spans="1:3" ht="27" customHeight="1" x14ac:dyDescent="0.3">
      <c r="A16" s="36">
        <v>114328</v>
      </c>
      <c r="B16" s="36" t="s">
        <v>132</v>
      </c>
      <c r="C16" s="37">
        <v>1650000</v>
      </c>
    </row>
    <row r="17" spans="1:3" ht="24.6" customHeight="1" x14ac:dyDescent="0.3">
      <c r="A17" s="36">
        <v>114329</v>
      </c>
      <c r="B17" s="36" t="s">
        <v>133</v>
      </c>
      <c r="C17" s="37">
        <v>1700000</v>
      </c>
    </row>
    <row r="18" spans="1:3" ht="22.2" customHeight="1" x14ac:dyDescent="0.3">
      <c r="A18" s="36">
        <v>114330</v>
      </c>
      <c r="B18" s="36" t="s">
        <v>134</v>
      </c>
      <c r="C18" s="37">
        <v>100000</v>
      </c>
    </row>
    <row r="19" spans="1:3" ht="23.4" customHeight="1" x14ac:dyDescent="0.3">
      <c r="A19" s="36">
        <v>114331</v>
      </c>
      <c r="B19" s="36" t="s">
        <v>135</v>
      </c>
      <c r="C19" s="37">
        <v>100000</v>
      </c>
    </row>
    <row r="20" spans="1:3" ht="23.4" customHeight="1" x14ac:dyDescent="0.3">
      <c r="A20" s="36">
        <v>114332</v>
      </c>
      <c r="B20" s="36" t="s">
        <v>181</v>
      </c>
      <c r="C20" s="37">
        <v>200000</v>
      </c>
    </row>
    <row r="21" spans="1:3" ht="22.2" customHeight="1" x14ac:dyDescent="0.3">
      <c r="A21" s="36">
        <v>114333</v>
      </c>
      <c r="B21" s="36" t="s">
        <v>136</v>
      </c>
      <c r="C21" s="37">
        <v>1700000</v>
      </c>
    </row>
    <row r="22" spans="1:3" ht="24.6" customHeight="1" x14ac:dyDescent="0.3">
      <c r="A22" s="36">
        <v>114335</v>
      </c>
      <c r="B22" s="36" t="s">
        <v>137</v>
      </c>
      <c r="C22" s="37">
        <v>300000</v>
      </c>
    </row>
    <row r="23" spans="1:3" ht="22.8" customHeight="1" x14ac:dyDescent="0.3">
      <c r="A23" s="36">
        <v>114347</v>
      </c>
      <c r="B23" s="36" t="s">
        <v>138</v>
      </c>
      <c r="C23" s="37">
        <v>75000</v>
      </c>
    </row>
    <row r="24" spans="1:3" ht="27" customHeight="1" x14ac:dyDescent="0.3">
      <c r="A24" s="36">
        <v>141501</v>
      </c>
      <c r="B24" s="36" t="s">
        <v>139</v>
      </c>
      <c r="C24" s="37">
        <f>+'Distribución de Ingresos por Cu'!C15</f>
        <v>54959317.399999999</v>
      </c>
    </row>
    <row r="25" spans="1:3" ht="30" customHeight="1" x14ac:dyDescent="0.3">
      <c r="A25" s="36">
        <v>141503</v>
      </c>
      <c r="B25" s="36" t="s">
        <v>140</v>
      </c>
      <c r="C25" s="38">
        <v>71080477</v>
      </c>
    </row>
    <row r="26" spans="1:3" ht="21.6" customHeight="1" x14ac:dyDescent="0.3">
      <c r="A26" s="36">
        <v>142503</v>
      </c>
      <c r="B26" s="36" t="s">
        <v>141</v>
      </c>
      <c r="C26" s="37">
        <v>47386964</v>
      </c>
    </row>
    <row r="27" spans="1:3" ht="23.4" customHeight="1" x14ac:dyDescent="0.3">
      <c r="A27" s="36">
        <v>151306</v>
      </c>
      <c r="B27" s="36" t="s">
        <v>142</v>
      </c>
      <c r="C27" s="37">
        <v>200000</v>
      </c>
    </row>
    <row r="28" spans="1:3" ht="23.4" customHeight="1" x14ac:dyDescent="0.3">
      <c r="A28" s="36">
        <v>151309</v>
      </c>
      <c r="B28" s="36" t="s">
        <v>143</v>
      </c>
      <c r="C28" s="37">
        <v>200000</v>
      </c>
    </row>
    <row r="29" spans="1:3" ht="20.399999999999999" customHeight="1" x14ac:dyDescent="0.3">
      <c r="A29" s="36">
        <v>151316</v>
      </c>
      <c r="B29" s="36" t="s">
        <v>144</v>
      </c>
      <c r="C29" s="37">
        <v>1300000</v>
      </c>
    </row>
    <row r="30" spans="1:3" ht="24" customHeight="1" x14ac:dyDescent="0.3">
      <c r="A30" s="36">
        <v>151320</v>
      </c>
      <c r="B30" s="36" t="s">
        <v>145</v>
      </c>
      <c r="C30" s="37">
        <v>1500000</v>
      </c>
    </row>
    <row r="31" spans="1:3" ht="31.8" customHeight="1" x14ac:dyDescent="0.3">
      <c r="A31" s="36">
        <v>151431</v>
      </c>
      <c r="B31" s="36" t="s">
        <v>146</v>
      </c>
      <c r="C31" s="37">
        <v>300000</v>
      </c>
    </row>
    <row r="32" spans="1:3" ht="25.2" customHeight="1" x14ac:dyDescent="0.3">
      <c r="A32" s="36">
        <v>151439</v>
      </c>
      <c r="B32" s="36" t="s">
        <v>147</v>
      </c>
      <c r="C32" s="37">
        <v>300000</v>
      </c>
    </row>
    <row r="33" spans="1:4" ht="34.799999999999997" customHeight="1" x14ac:dyDescent="0.3">
      <c r="A33" s="36">
        <v>151508</v>
      </c>
      <c r="B33" s="36" t="s">
        <v>148</v>
      </c>
      <c r="C33" s="37">
        <v>900000</v>
      </c>
    </row>
    <row r="34" spans="1:4" ht="29.4" customHeight="1" x14ac:dyDescent="0.3">
      <c r="A34" s="36">
        <v>151509</v>
      </c>
      <c r="B34" s="36" t="s">
        <v>149</v>
      </c>
      <c r="C34" s="37">
        <v>150000</v>
      </c>
    </row>
    <row r="35" spans="1:4" ht="29.4" customHeight="1" x14ac:dyDescent="0.3">
      <c r="A35" s="36">
        <v>151510</v>
      </c>
      <c r="B35" s="36" t="s">
        <v>150</v>
      </c>
      <c r="C35" s="37">
        <v>425000</v>
      </c>
    </row>
    <row r="36" spans="1:4" ht="18.600000000000001" customHeight="1" x14ac:dyDescent="0.3">
      <c r="A36" s="36">
        <v>151511</v>
      </c>
      <c r="B36" s="36" t="s">
        <v>151</v>
      </c>
      <c r="C36" s="37">
        <v>30000</v>
      </c>
    </row>
    <row r="37" spans="1:4" ht="29.4" customHeight="1" x14ac:dyDescent="0.3">
      <c r="A37" s="36">
        <v>151513</v>
      </c>
      <c r="B37" s="36" t="s">
        <v>152</v>
      </c>
      <c r="C37" s="37">
        <v>10000</v>
      </c>
    </row>
    <row r="38" spans="1:4" ht="24.6" customHeight="1" x14ac:dyDescent="0.3">
      <c r="A38" s="36">
        <v>151516</v>
      </c>
      <c r="B38" s="36" t="s">
        <v>153</v>
      </c>
      <c r="C38" s="37">
        <v>200000</v>
      </c>
    </row>
    <row r="39" spans="1:4" ht="25.2" customHeight="1" x14ac:dyDescent="0.3">
      <c r="A39" s="36">
        <v>151519</v>
      </c>
      <c r="B39" s="36" t="s">
        <v>154</v>
      </c>
      <c r="C39" s="37">
        <v>250000</v>
      </c>
    </row>
    <row r="40" spans="1:4" ht="21.6" customHeight="1" x14ac:dyDescent="0.3">
      <c r="A40" s="36">
        <v>161305</v>
      </c>
      <c r="B40" s="36" t="s">
        <v>155</v>
      </c>
      <c r="C40" s="37">
        <v>50000</v>
      </c>
    </row>
    <row r="41" spans="1:4" ht="22.2" customHeight="1" x14ac:dyDescent="0.3">
      <c r="A41" s="36">
        <v>17431</v>
      </c>
      <c r="B41" s="36" t="s">
        <v>156</v>
      </c>
      <c r="C41" s="37">
        <v>4000000</v>
      </c>
      <c r="D41" s="25"/>
    </row>
    <row r="42" spans="1:4" ht="21.6" customHeight="1" x14ac:dyDescent="0.3">
      <c r="A42" s="36">
        <v>161499</v>
      </c>
      <c r="B42" s="36" t="s">
        <v>157</v>
      </c>
      <c r="C42" s="37">
        <v>250000</v>
      </c>
    </row>
    <row r="43" spans="1:4" ht="28.8" customHeight="1" x14ac:dyDescent="0.3">
      <c r="A43" s="36">
        <v>171401</v>
      </c>
      <c r="B43" s="36" t="s">
        <v>158</v>
      </c>
      <c r="C43" s="37">
        <v>100000</v>
      </c>
    </row>
    <row r="44" spans="1:4" ht="29.4" customHeight="1" x14ac:dyDescent="0.3">
      <c r="A44" s="36">
        <v>321301</v>
      </c>
      <c r="B44" s="36" t="s">
        <v>171</v>
      </c>
      <c r="C44" s="37">
        <v>2000000</v>
      </c>
    </row>
    <row r="45" spans="1:4" ht="15.6" x14ac:dyDescent="0.3">
      <c r="A45" s="39"/>
      <c r="B45" s="35" t="s">
        <v>116</v>
      </c>
      <c r="C45" s="40">
        <f>SUM(C7:C44)</f>
        <v>193756758.40000001</v>
      </c>
    </row>
    <row r="46" spans="1:4" ht="27.6" customHeight="1" x14ac:dyDescent="0.3">
      <c r="A46" s="39"/>
      <c r="B46" s="39" t="s">
        <v>168</v>
      </c>
      <c r="C46" s="41">
        <f>+'Distribución de Ingresos por Cu'!C15</f>
        <v>54959317.399999999</v>
      </c>
    </row>
    <row r="47" spans="1:4" ht="26.4" customHeight="1" thickBot="1" x14ac:dyDescent="0.35">
      <c r="A47" s="39"/>
      <c r="B47" s="42" t="s">
        <v>169</v>
      </c>
      <c r="C47" s="43">
        <f>+C45-C46</f>
        <v>138797441</v>
      </c>
      <c r="D47" s="25"/>
    </row>
    <row r="48" spans="1:4" ht="15" thickTop="1" x14ac:dyDescent="0.3">
      <c r="C48" s="25"/>
    </row>
    <row r="49" spans="2:8" x14ac:dyDescent="0.3">
      <c r="B49" s="55" t="s">
        <v>188</v>
      </c>
      <c r="C49" s="25"/>
    </row>
    <row r="50" spans="2:8" x14ac:dyDescent="0.3">
      <c r="B50" s="55" t="s">
        <v>182</v>
      </c>
      <c r="C50" s="56">
        <f>+C25+C26</f>
        <v>118467441</v>
      </c>
    </row>
    <row r="51" spans="2:8" x14ac:dyDescent="0.3">
      <c r="B51" s="55" t="s">
        <v>183</v>
      </c>
      <c r="C51" s="57">
        <f>+C45-C50-C53-C52</f>
        <v>18330000.000000007</v>
      </c>
    </row>
    <row r="52" spans="2:8" x14ac:dyDescent="0.3">
      <c r="B52" s="55" t="s">
        <v>184</v>
      </c>
      <c r="C52" s="57">
        <f>+C44</f>
        <v>2000000</v>
      </c>
    </row>
    <row r="53" spans="2:8" x14ac:dyDescent="0.3">
      <c r="B53" s="55" t="s">
        <v>168</v>
      </c>
      <c r="C53" s="56">
        <f>+C46</f>
        <v>54959317.399999999</v>
      </c>
    </row>
    <row r="54" spans="2:8" x14ac:dyDescent="0.3">
      <c r="B54" s="55" t="s">
        <v>185</v>
      </c>
      <c r="C54" s="56">
        <f>SUM(C50:C53)</f>
        <v>193756758.40000001</v>
      </c>
      <c r="G54" s="25"/>
      <c r="H54" s="25"/>
    </row>
    <row r="55" spans="2:8" x14ac:dyDescent="0.3">
      <c r="B55" s="55"/>
      <c r="C55" s="56"/>
      <c r="G55" s="25"/>
      <c r="H55" s="25"/>
    </row>
    <row r="56" spans="2:8" x14ac:dyDescent="0.3">
      <c r="C56" s="56"/>
      <c r="G56" s="25"/>
      <c r="H56" s="25"/>
    </row>
    <row r="57" spans="2:8" x14ac:dyDescent="0.3">
      <c r="G57" s="25"/>
      <c r="H57" s="2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C17" sqref="C17"/>
    </sheetView>
  </sheetViews>
  <sheetFormatPr baseColWidth="10" defaultRowHeight="14.4" x14ac:dyDescent="0.3"/>
  <cols>
    <col min="1" max="1" width="37.5546875" customWidth="1"/>
    <col min="2" max="2" width="24.6640625" customWidth="1"/>
    <col min="3" max="3" width="26.5546875" customWidth="1"/>
    <col min="4" max="4" width="15.6640625" customWidth="1"/>
    <col min="5" max="5" width="15.5546875" customWidth="1"/>
    <col min="9" max="9" width="15.44140625" customWidth="1"/>
  </cols>
  <sheetData>
    <row r="1" spans="1:5" ht="25.8" x14ac:dyDescent="0.5">
      <c r="A1" s="67"/>
      <c r="B1" s="67"/>
      <c r="C1" s="67"/>
      <c r="D1" s="34"/>
      <c r="E1" s="34"/>
    </row>
    <row r="2" spans="1:5" s="55" customFormat="1" ht="21" x14ac:dyDescent="0.4">
      <c r="A2" s="68" t="s">
        <v>193</v>
      </c>
      <c r="B2" s="68"/>
      <c r="C2" s="68"/>
      <c r="D2" s="58"/>
      <c r="E2" s="58"/>
    </row>
    <row r="3" spans="1:5" s="55" customFormat="1" ht="21" x14ac:dyDescent="0.4">
      <c r="A3" s="68" t="s">
        <v>192</v>
      </c>
      <c r="B3" s="68"/>
      <c r="C3" s="68"/>
      <c r="D3" s="58"/>
      <c r="E3" s="58"/>
    </row>
    <row r="4" spans="1:5" ht="21" x14ac:dyDescent="0.4">
      <c r="A4" s="69"/>
      <c r="B4" s="69"/>
      <c r="C4" s="69"/>
      <c r="D4" s="34"/>
      <c r="E4" s="34"/>
    </row>
    <row r="5" spans="1:5" ht="23.4" x14ac:dyDescent="0.45">
      <c r="A5" s="45"/>
      <c r="B5" s="45"/>
      <c r="C5" s="45"/>
    </row>
    <row r="6" spans="1:5" ht="23.4" x14ac:dyDescent="0.45">
      <c r="A6" s="46" t="s">
        <v>159</v>
      </c>
      <c r="B6" s="46" t="s">
        <v>166</v>
      </c>
      <c r="C6" s="46" t="s">
        <v>123</v>
      </c>
    </row>
    <row r="7" spans="1:5" ht="23.4" x14ac:dyDescent="0.45">
      <c r="A7" s="45" t="s">
        <v>167</v>
      </c>
      <c r="B7" s="47">
        <f>+'Ingresos Generales'!C47</f>
        <v>138797441</v>
      </c>
      <c r="C7" s="46"/>
    </row>
    <row r="8" spans="1:5" ht="23.4" x14ac:dyDescent="0.45">
      <c r="A8" s="45" t="s">
        <v>118</v>
      </c>
      <c r="B8" s="48"/>
      <c r="C8" s="48">
        <f>+B7*0.25</f>
        <v>34699360.25</v>
      </c>
    </row>
    <row r="9" spans="1:5" ht="23.4" x14ac:dyDescent="0.45">
      <c r="A9" s="45" t="s">
        <v>160</v>
      </c>
      <c r="B9" s="48"/>
      <c r="C9" s="48">
        <f>+B7*0.31</f>
        <v>43027206.710000001</v>
      </c>
    </row>
    <row r="10" spans="1:5" ht="23.4" x14ac:dyDescent="0.45">
      <c r="A10" s="45" t="s">
        <v>161</v>
      </c>
      <c r="B10" s="45"/>
      <c r="C10" s="48">
        <f>+B7*0.4*0.6</f>
        <v>33311385.840000004</v>
      </c>
    </row>
    <row r="11" spans="1:5" ht="23.4" x14ac:dyDescent="0.45">
      <c r="A11" s="45" t="s">
        <v>162</v>
      </c>
      <c r="B11" s="45"/>
      <c r="C11" s="49">
        <f>+B7*0.04</f>
        <v>5551897.6399999997</v>
      </c>
    </row>
    <row r="12" spans="1:5" ht="23.4" x14ac:dyDescent="0.45">
      <c r="A12" s="45" t="s">
        <v>163</v>
      </c>
      <c r="B12" s="45"/>
      <c r="C12" s="48">
        <f>SUM(C8:C11)</f>
        <v>116589850.44000001</v>
      </c>
      <c r="D12" s="44"/>
    </row>
    <row r="13" spans="1:5" ht="23.4" x14ac:dyDescent="0.45">
      <c r="A13" s="45" t="s">
        <v>164</v>
      </c>
      <c r="B13" s="45"/>
      <c r="C13" s="49">
        <f>+B7*0.4*0.4</f>
        <v>22207590.560000002</v>
      </c>
    </row>
    <row r="14" spans="1:5" ht="24" thickBot="1" x14ac:dyDescent="0.5">
      <c r="A14" s="46" t="s">
        <v>165</v>
      </c>
      <c r="B14" s="46"/>
      <c r="C14" s="50">
        <f>+C12+C13</f>
        <v>138797441</v>
      </c>
    </row>
    <row r="15" spans="1:5" ht="24.6" thickTop="1" thickBot="1" x14ac:dyDescent="0.5">
      <c r="A15" s="45" t="s">
        <v>168</v>
      </c>
      <c r="B15" s="45"/>
      <c r="C15" s="59">
        <v>54959317.399999999</v>
      </c>
    </row>
    <row r="16" spans="1:5" ht="24.6" thickTop="1" thickBot="1" x14ac:dyDescent="0.5">
      <c r="A16" s="51" t="s">
        <v>172</v>
      </c>
      <c r="B16" s="51"/>
      <c r="C16" s="52">
        <f>+C14+C15</f>
        <v>193756758.40000001</v>
      </c>
    </row>
    <row r="17" spans="3:3" ht="15" thickTop="1" x14ac:dyDescent="0.3">
      <c r="C17" s="25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120" verticalDpi="7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zoomScale="98" workbookViewId="0">
      <selection activeCell="C52" sqref="A1:C52"/>
    </sheetView>
  </sheetViews>
  <sheetFormatPr baseColWidth="10" defaultRowHeight="14.4" x14ac:dyDescent="0.3"/>
  <cols>
    <col min="1" max="1" width="41.21875" customWidth="1"/>
    <col min="2" max="2" width="18.88671875" customWidth="1"/>
    <col min="3" max="3" width="24.6640625" customWidth="1"/>
    <col min="4" max="4" width="15.6640625" customWidth="1"/>
    <col min="5" max="5" width="15.5546875" customWidth="1"/>
    <col min="9" max="9" width="15.44140625" customWidth="1"/>
  </cols>
  <sheetData>
    <row r="1" spans="1:5" ht="25.8" x14ac:dyDescent="0.5">
      <c r="A1" s="67"/>
      <c r="B1" s="67"/>
      <c r="C1" s="67"/>
      <c r="D1" s="34"/>
      <c r="E1" s="34"/>
    </row>
    <row r="2" spans="1:5" s="55" customFormat="1" ht="21" x14ac:dyDescent="0.4">
      <c r="A2" s="68" t="s">
        <v>193</v>
      </c>
      <c r="B2" s="68"/>
      <c r="C2" s="68"/>
      <c r="D2" s="58"/>
      <c r="E2" s="58"/>
    </row>
    <row r="3" spans="1:5" s="55" customFormat="1" ht="21" x14ac:dyDescent="0.4">
      <c r="A3" s="68" t="s">
        <v>195</v>
      </c>
      <c r="B3" s="68"/>
      <c r="C3" s="68"/>
      <c r="D3" s="58"/>
      <c r="E3" s="58"/>
    </row>
    <row r="4" spans="1:5" ht="21" x14ac:dyDescent="0.4">
      <c r="A4" s="69"/>
      <c r="B4" s="69"/>
      <c r="C4" s="69"/>
      <c r="D4" s="34"/>
      <c r="E4" s="34"/>
    </row>
    <row r="5" spans="1:5" ht="23.4" x14ac:dyDescent="0.45">
      <c r="A5" s="45"/>
      <c r="B5" s="45"/>
      <c r="C5" s="45"/>
    </row>
    <row r="6" spans="1:5" ht="23.4" x14ac:dyDescent="0.45">
      <c r="A6" s="46" t="s">
        <v>196</v>
      </c>
      <c r="B6" s="46" t="s">
        <v>198</v>
      </c>
      <c r="C6" s="46" t="s">
        <v>199</v>
      </c>
    </row>
    <row r="7" spans="1:5" ht="23.4" x14ac:dyDescent="0.45">
      <c r="A7" s="46" t="s">
        <v>221</v>
      </c>
      <c r="B7" s="46"/>
      <c r="C7" s="46"/>
    </row>
    <row r="8" spans="1:5" ht="23.4" x14ac:dyDescent="0.45">
      <c r="A8" s="45" t="s">
        <v>197</v>
      </c>
      <c r="B8" s="47">
        <f>66000*0.1*9</f>
        <v>59400</v>
      </c>
      <c r="C8" s="47">
        <f>+B8*12</f>
        <v>712800</v>
      </c>
    </row>
    <row r="9" spans="1:5" ht="23.4" x14ac:dyDescent="0.45">
      <c r="A9" s="45" t="s">
        <v>200</v>
      </c>
      <c r="B9" s="48">
        <v>40000</v>
      </c>
      <c r="C9" s="47">
        <f t="shared" ref="C9:C40" si="0">+B9*12</f>
        <v>480000</v>
      </c>
    </row>
    <row r="10" spans="1:5" ht="23.4" x14ac:dyDescent="0.45">
      <c r="A10" s="45" t="s">
        <v>201</v>
      </c>
      <c r="B10" s="48">
        <f>+B9*0.6</f>
        <v>24000</v>
      </c>
      <c r="C10" s="47">
        <f t="shared" si="0"/>
        <v>288000</v>
      </c>
    </row>
    <row r="11" spans="1:5" ht="23.4" x14ac:dyDescent="0.45">
      <c r="A11" s="45" t="s">
        <v>202</v>
      </c>
      <c r="B11" s="48">
        <v>10000</v>
      </c>
      <c r="C11" s="47">
        <f t="shared" si="0"/>
        <v>120000</v>
      </c>
    </row>
    <row r="12" spans="1:5" ht="23.4" x14ac:dyDescent="0.45">
      <c r="A12" s="45" t="s">
        <v>204</v>
      </c>
      <c r="B12" s="48">
        <v>12000</v>
      </c>
      <c r="C12" s="47">
        <f t="shared" si="0"/>
        <v>144000</v>
      </c>
    </row>
    <row r="13" spans="1:5" ht="23.4" x14ac:dyDescent="0.45">
      <c r="A13" s="45" t="s">
        <v>203</v>
      </c>
      <c r="B13" s="48">
        <v>10000</v>
      </c>
      <c r="C13" s="47">
        <f t="shared" si="0"/>
        <v>120000</v>
      </c>
    </row>
    <row r="14" spans="1:5" ht="23.4" x14ac:dyDescent="0.45">
      <c r="A14" s="45" t="s">
        <v>205</v>
      </c>
      <c r="B14" s="48">
        <v>10000</v>
      </c>
      <c r="C14" s="47">
        <f t="shared" si="0"/>
        <v>120000</v>
      </c>
    </row>
    <row r="15" spans="1:5" ht="23.4" x14ac:dyDescent="0.45">
      <c r="A15" s="45" t="s">
        <v>206</v>
      </c>
      <c r="B15" s="48">
        <v>10000</v>
      </c>
      <c r="C15" s="47">
        <f t="shared" si="0"/>
        <v>120000</v>
      </c>
    </row>
    <row r="16" spans="1:5" ht="23.4" x14ac:dyDescent="0.45">
      <c r="A16" s="45" t="s">
        <v>207</v>
      </c>
      <c r="B16" s="48">
        <v>5000</v>
      </c>
      <c r="C16" s="47">
        <f t="shared" si="0"/>
        <v>60000</v>
      </c>
    </row>
    <row r="17" spans="1:3" ht="23.4" x14ac:dyDescent="0.45">
      <c r="A17" s="45" t="s">
        <v>208</v>
      </c>
      <c r="B17" s="48">
        <v>10000</v>
      </c>
      <c r="C17" s="47">
        <f t="shared" si="0"/>
        <v>120000</v>
      </c>
    </row>
    <row r="18" spans="1:3" ht="23.4" x14ac:dyDescent="0.45">
      <c r="A18" s="45" t="s">
        <v>209</v>
      </c>
      <c r="B18" s="48">
        <v>10000</v>
      </c>
      <c r="C18" s="47">
        <f t="shared" si="0"/>
        <v>120000</v>
      </c>
    </row>
    <row r="19" spans="1:3" ht="23.4" x14ac:dyDescent="0.45">
      <c r="A19" s="45" t="s">
        <v>210</v>
      </c>
      <c r="B19" s="48">
        <v>5000</v>
      </c>
      <c r="C19" s="47">
        <f t="shared" si="0"/>
        <v>60000</v>
      </c>
    </row>
    <row r="20" spans="1:3" ht="23.4" x14ac:dyDescent="0.45">
      <c r="A20" s="45" t="s">
        <v>211</v>
      </c>
      <c r="B20" s="48">
        <v>2000</v>
      </c>
      <c r="C20" s="47">
        <f t="shared" si="0"/>
        <v>24000</v>
      </c>
    </row>
    <row r="21" spans="1:3" ht="23.4" x14ac:dyDescent="0.45">
      <c r="A21" s="45" t="s">
        <v>212</v>
      </c>
      <c r="B21" s="48">
        <f>12000-8400</f>
        <v>3600</v>
      </c>
      <c r="C21" s="47">
        <f t="shared" si="0"/>
        <v>43200</v>
      </c>
    </row>
    <row r="22" spans="1:3" ht="23.4" x14ac:dyDescent="0.45">
      <c r="A22" s="45" t="s">
        <v>212</v>
      </c>
      <c r="B22" s="48">
        <f>12000-8400</f>
        <v>3600</v>
      </c>
      <c r="C22" s="47">
        <f t="shared" si="0"/>
        <v>43200</v>
      </c>
    </row>
    <row r="23" spans="1:3" ht="23.4" x14ac:dyDescent="0.45">
      <c r="A23" s="45" t="s">
        <v>213</v>
      </c>
      <c r="B23" s="48">
        <f>12000-8400</f>
        <v>3600</v>
      </c>
      <c r="C23" s="47">
        <f t="shared" si="0"/>
        <v>43200</v>
      </c>
    </row>
    <row r="24" spans="1:3" ht="23.4" x14ac:dyDescent="0.45">
      <c r="A24" s="45" t="s">
        <v>214</v>
      </c>
      <c r="B24" s="48">
        <f>(11520-8400)*7</f>
        <v>21840</v>
      </c>
      <c r="C24" s="47">
        <f t="shared" si="0"/>
        <v>262080</v>
      </c>
    </row>
    <row r="25" spans="1:3" ht="23.4" x14ac:dyDescent="0.45">
      <c r="A25" s="45" t="s">
        <v>215</v>
      </c>
      <c r="B25" s="48">
        <f>(11520-9600)*6</f>
        <v>11520</v>
      </c>
      <c r="C25" s="47">
        <f t="shared" si="0"/>
        <v>138240</v>
      </c>
    </row>
    <row r="26" spans="1:3" ht="23.4" x14ac:dyDescent="0.45">
      <c r="A26" s="45" t="s">
        <v>216</v>
      </c>
      <c r="B26" s="48">
        <v>5000</v>
      </c>
      <c r="C26" s="47">
        <f t="shared" si="0"/>
        <v>60000</v>
      </c>
    </row>
    <row r="27" spans="1:3" ht="23.4" x14ac:dyDescent="0.45">
      <c r="A27" s="45" t="s">
        <v>217</v>
      </c>
      <c r="B27" s="48">
        <v>3400</v>
      </c>
      <c r="C27" s="47">
        <f t="shared" si="0"/>
        <v>40800</v>
      </c>
    </row>
    <row r="28" spans="1:3" ht="23.4" x14ac:dyDescent="0.45">
      <c r="A28" s="45" t="s">
        <v>218</v>
      </c>
      <c r="B28" s="48">
        <v>3000</v>
      </c>
      <c r="C28" s="47">
        <f t="shared" si="0"/>
        <v>36000</v>
      </c>
    </row>
    <row r="29" spans="1:3" ht="23.4" x14ac:dyDescent="0.45">
      <c r="A29" s="45" t="s">
        <v>219</v>
      </c>
      <c r="B29" s="48">
        <f>12000-9600</f>
        <v>2400</v>
      </c>
      <c r="C29" s="47">
        <f t="shared" si="0"/>
        <v>28800</v>
      </c>
    </row>
    <row r="30" spans="1:3" ht="23.4" x14ac:dyDescent="0.45">
      <c r="A30" s="45" t="s">
        <v>220</v>
      </c>
      <c r="B30" s="48">
        <f>10000-8400</f>
        <v>1600</v>
      </c>
      <c r="C30" s="47">
        <f t="shared" si="0"/>
        <v>19200</v>
      </c>
    </row>
    <row r="31" spans="1:3" ht="23.4" x14ac:dyDescent="0.45">
      <c r="A31" s="45" t="s">
        <v>226</v>
      </c>
      <c r="B31" s="48">
        <f>22000-18000</f>
        <v>4000</v>
      </c>
      <c r="C31" s="47">
        <f t="shared" si="0"/>
        <v>48000</v>
      </c>
    </row>
    <row r="32" spans="1:3" ht="23.4" x14ac:dyDescent="0.45">
      <c r="A32" s="46" t="s">
        <v>227</v>
      </c>
      <c r="B32" s="47">
        <f>SUM(B8:B31)</f>
        <v>270960</v>
      </c>
      <c r="C32" s="47">
        <f>SUM(C8:C31)</f>
        <v>3251520</v>
      </c>
    </row>
    <row r="33" spans="1:4" ht="23.4" x14ac:dyDescent="0.45">
      <c r="B33" s="48"/>
      <c r="C33" s="47"/>
    </row>
    <row r="34" spans="1:4" ht="23.4" x14ac:dyDescent="0.45">
      <c r="A34" s="46" t="s">
        <v>222</v>
      </c>
      <c r="B34" s="48"/>
      <c r="C34" s="47"/>
    </row>
    <row r="35" spans="1:4" ht="23.4" x14ac:dyDescent="0.45">
      <c r="A35" s="45" t="s">
        <v>224</v>
      </c>
      <c r="B35" s="48">
        <f>(10000-7200)*19</f>
        <v>53200</v>
      </c>
      <c r="C35" s="47">
        <f t="shared" si="0"/>
        <v>638400</v>
      </c>
    </row>
    <row r="36" spans="1:4" ht="23.4" x14ac:dyDescent="0.45">
      <c r="A36" s="45" t="s">
        <v>223</v>
      </c>
      <c r="B36" s="48">
        <f>(7000-4000)*4</f>
        <v>12000</v>
      </c>
      <c r="C36" s="47">
        <f t="shared" si="0"/>
        <v>144000</v>
      </c>
    </row>
    <row r="37" spans="1:4" ht="23.4" x14ac:dyDescent="0.45">
      <c r="A37" s="45" t="s">
        <v>225</v>
      </c>
      <c r="B37" s="48">
        <f>(12000-10000)*34</f>
        <v>68000</v>
      </c>
      <c r="C37" s="47">
        <f t="shared" si="0"/>
        <v>816000</v>
      </c>
    </row>
    <row r="38" spans="1:4" ht="23.4" x14ac:dyDescent="0.45">
      <c r="A38" s="45" t="s">
        <v>228</v>
      </c>
      <c r="B38" s="48">
        <f>+(18000-15000)*9</f>
        <v>27000</v>
      </c>
      <c r="C38" s="47">
        <f t="shared" si="0"/>
        <v>324000</v>
      </c>
    </row>
    <row r="39" spans="1:4" ht="23.4" x14ac:dyDescent="0.45">
      <c r="A39" s="45" t="s">
        <v>116</v>
      </c>
      <c r="B39" s="47">
        <f>SUM(B35:B38)</f>
        <v>160200</v>
      </c>
      <c r="C39" s="47">
        <f>SUM(C35:C38)</f>
        <v>1922400</v>
      </c>
    </row>
    <row r="40" spans="1:4" ht="23.4" x14ac:dyDescent="0.45">
      <c r="A40" s="45"/>
      <c r="B40" s="48"/>
      <c r="C40" s="47">
        <f t="shared" si="0"/>
        <v>0</v>
      </c>
    </row>
    <row r="41" spans="1:4" ht="23.4" x14ac:dyDescent="0.45">
      <c r="A41" s="45"/>
      <c r="B41" s="48"/>
      <c r="C41" s="47"/>
      <c r="D41" s="44"/>
    </row>
    <row r="42" spans="1:4" ht="23.4" x14ac:dyDescent="0.45">
      <c r="A42" s="45" t="s">
        <v>229</v>
      </c>
      <c r="B42" s="48"/>
      <c r="C42" s="47"/>
    </row>
    <row r="43" spans="1:4" ht="23.4" x14ac:dyDescent="0.45">
      <c r="A43" s="45" t="s">
        <v>230</v>
      </c>
      <c r="B43" s="48">
        <f>3000*2</f>
        <v>6000</v>
      </c>
      <c r="C43" s="47">
        <f t="shared" ref="C43:C49" si="1">+B43*12</f>
        <v>72000</v>
      </c>
    </row>
    <row r="44" spans="1:4" ht="23.4" x14ac:dyDescent="0.45">
      <c r="A44" s="45" t="s">
        <v>231</v>
      </c>
      <c r="B44" s="48">
        <v>2000</v>
      </c>
      <c r="C44" s="47">
        <f t="shared" si="1"/>
        <v>24000</v>
      </c>
    </row>
    <row r="45" spans="1:4" ht="23.4" x14ac:dyDescent="0.45">
      <c r="A45" s="45" t="s">
        <v>232</v>
      </c>
      <c r="B45" s="48">
        <f>15000-8400</f>
        <v>6600</v>
      </c>
      <c r="C45" s="47">
        <f t="shared" si="1"/>
        <v>79200</v>
      </c>
    </row>
    <row r="46" spans="1:4" ht="23.4" x14ac:dyDescent="0.45">
      <c r="A46" s="45" t="s">
        <v>233</v>
      </c>
      <c r="B46" s="48">
        <v>5000</v>
      </c>
      <c r="C46" s="47">
        <f t="shared" si="1"/>
        <v>60000</v>
      </c>
    </row>
    <row r="47" spans="1:4" ht="23.4" x14ac:dyDescent="0.45">
      <c r="A47" s="45" t="s">
        <v>236</v>
      </c>
      <c r="B47" s="48"/>
      <c r="C47" s="47">
        <f t="shared" si="1"/>
        <v>0</v>
      </c>
    </row>
    <row r="48" spans="1:4" ht="23.4" x14ac:dyDescent="0.45">
      <c r="A48" s="45" t="s">
        <v>234</v>
      </c>
      <c r="B48" s="48"/>
      <c r="C48" s="47">
        <f t="shared" si="1"/>
        <v>0</v>
      </c>
    </row>
    <row r="49" spans="1:3" ht="23.4" x14ac:dyDescent="0.45">
      <c r="A49" s="45" t="s">
        <v>235</v>
      </c>
      <c r="B49" s="48"/>
      <c r="C49" s="47">
        <f t="shared" si="1"/>
        <v>0</v>
      </c>
    </row>
    <row r="50" spans="1:3" ht="23.4" x14ac:dyDescent="0.45">
      <c r="A50" s="45" t="s">
        <v>116</v>
      </c>
      <c r="B50" s="47">
        <f>SUM(B43:B49)</f>
        <v>19600</v>
      </c>
      <c r="C50" s="47">
        <f>SUM(C43:C49)</f>
        <v>235200</v>
      </c>
    </row>
    <row r="51" spans="1:3" ht="23.4" x14ac:dyDescent="0.45">
      <c r="A51" s="45"/>
      <c r="B51" s="48"/>
      <c r="C51" s="47"/>
    </row>
    <row r="52" spans="1:3" ht="23.4" x14ac:dyDescent="0.45">
      <c r="A52" s="65" t="s">
        <v>237</v>
      </c>
      <c r="B52" s="47">
        <f>+B32+B39+B50</f>
        <v>450760</v>
      </c>
      <c r="C52" s="47" t="e">
        <f>E5:E6=+C32+C39+C50</f>
        <v>#VALUE!</v>
      </c>
    </row>
    <row r="53" spans="1:3" ht="23.4" x14ac:dyDescent="0.45">
      <c r="A53" s="46"/>
      <c r="B53" s="47"/>
      <c r="C53" s="47"/>
    </row>
    <row r="54" spans="1:3" ht="24" thickBot="1" x14ac:dyDescent="0.5">
      <c r="A54" s="45"/>
      <c r="B54" s="48"/>
      <c r="C54" s="45"/>
    </row>
    <row r="55" spans="1:3" ht="24.6" thickTop="1" thickBot="1" x14ac:dyDescent="0.5">
      <c r="A55" s="51"/>
      <c r="B55" s="64"/>
      <c r="C55" s="51"/>
    </row>
    <row r="56" spans="1:3" ht="15" thickTop="1" x14ac:dyDescent="0.3"/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Personal</vt:lpstr>
      <vt:lpstr>Inversion</vt:lpstr>
      <vt:lpstr>Servicio</vt:lpstr>
      <vt:lpstr>Salud y Genero</vt:lpstr>
      <vt:lpstr>Ingresos Generales</vt:lpstr>
      <vt:lpstr>Distribución de Ingresos por Cu</vt:lpstr>
      <vt:lpstr>Aumento Salaria;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Server_PC</dc:creator>
  <cp:lastModifiedBy>Usuario de Windows</cp:lastModifiedBy>
  <cp:lastPrinted>2021-12-22T14:05:43Z</cp:lastPrinted>
  <dcterms:created xsi:type="dcterms:W3CDTF">2020-10-12T14:40:28Z</dcterms:created>
  <dcterms:modified xsi:type="dcterms:W3CDTF">2021-12-22T14:07:42Z</dcterms:modified>
</cp:coreProperties>
</file>